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Lúcia\Desktop\DILIC\PREGÕES\2021\PREGÃO 7.2021\ETAPA 3 - APÓS 2 SUSPENSÃO\"/>
    </mc:Choice>
  </mc:AlternateContent>
  <bookViews>
    <workbookView xWindow="0" yWindow="0" windowWidth="20490" windowHeight="8910" tabRatio="790"/>
  </bookViews>
  <sheets>
    <sheet name="Quadro Resumo m²" sheetId="39" r:id="rId1"/>
    <sheet name="Mensal Unitário por m²" sheetId="40" r:id="rId2"/>
    <sheet name="Quadro Efetivo" sheetId="38" r:id="rId3"/>
    <sheet name="1 - Encarregado" sheetId="21" r:id="rId4"/>
    <sheet name="2 - Servente" sheetId="31" r:id="rId5"/>
    <sheet name="2.1 - Servente Esquadria" sheetId="32" r:id="rId6"/>
    <sheet name="3 - Servente Insalubre" sheetId="33" r:id="rId7"/>
    <sheet name="4 - Jauzeiro" sheetId="34" r:id="rId8"/>
    <sheet name="5 - Jardineiro" sheetId="41" r:id="rId9"/>
    <sheet name="Memória de Cálculo e Fundamento" sheetId="29" r:id="rId10"/>
    <sheet name="Equipamento" sheetId="35" r:id="rId11"/>
    <sheet name="Uniformes" sheetId="37" r:id="rId12"/>
    <sheet name="Materiais" sheetId="36" r:id="rId13"/>
  </sheets>
  <externalReferences>
    <externalReference r:id="rId14"/>
  </externalReferenc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40" l="1"/>
  <c r="C93" i="41" l="1"/>
  <c r="C93" i="34"/>
  <c r="C93" i="33"/>
  <c r="C93" i="32"/>
  <c r="C93" i="31"/>
  <c r="C93" i="21"/>
  <c r="C81" i="41"/>
  <c r="C78" i="41"/>
  <c r="C81" i="34"/>
  <c r="C78" i="34"/>
  <c r="C81" i="33"/>
  <c r="C78" i="33"/>
  <c r="C81" i="32"/>
  <c r="C78" i="32"/>
  <c r="C81" i="31"/>
  <c r="C78" i="31"/>
  <c r="C81" i="21"/>
  <c r="C78" i="21"/>
  <c r="C33" i="29"/>
  <c r="C30" i="29"/>
  <c r="W12" i="37" l="1"/>
  <c r="W11" i="37"/>
  <c r="S11" i="37"/>
  <c r="O13" i="37"/>
  <c r="O12" i="37"/>
  <c r="K12" i="37"/>
  <c r="K10" i="37"/>
  <c r="G13" i="37"/>
  <c r="G12" i="37"/>
  <c r="G11" i="37"/>
  <c r="G4" i="35" l="1"/>
  <c r="G14" i="38" l="1"/>
  <c r="E52" i="40" l="1"/>
  <c r="E51" i="40"/>
  <c r="B52" i="40"/>
  <c r="B51" i="40"/>
  <c r="G2" i="35" l="1"/>
  <c r="G13" i="38"/>
  <c r="G12" i="38"/>
  <c r="G11" i="38"/>
  <c r="G50" i="35" l="1"/>
  <c r="G49" i="35"/>
  <c r="G51" i="35" s="1"/>
  <c r="G52" i="35" s="1"/>
  <c r="G53" i="35" s="1"/>
  <c r="D111" i="32" s="1"/>
  <c r="O9" i="37"/>
  <c r="O8" i="37"/>
  <c r="W10" i="37"/>
  <c r="W9" i="37"/>
  <c r="W8" i="37"/>
  <c r="W7" i="37"/>
  <c r="W6" i="37"/>
  <c r="W5" i="37"/>
  <c r="W4" i="37"/>
  <c r="W16" i="37" l="1"/>
  <c r="H39" i="36"/>
  <c r="H21" i="36"/>
  <c r="H20" i="36"/>
  <c r="H19" i="36"/>
  <c r="G40" i="35"/>
  <c r="S10" i="37" l="1"/>
  <c r="S9" i="37"/>
  <c r="S8" i="37"/>
  <c r="S7" i="37"/>
  <c r="S6" i="37"/>
  <c r="S5" i="37"/>
  <c r="S4" i="37"/>
  <c r="S16" i="37" l="1"/>
  <c r="H11" i="36"/>
  <c r="H4" i="36"/>
  <c r="H64" i="36"/>
  <c r="G12" i="35"/>
  <c r="H57" i="36"/>
  <c r="H56" i="36"/>
  <c r="H86" i="36"/>
  <c r="H85" i="36"/>
  <c r="H84" i="36"/>
  <c r="H83" i="36"/>
  <c r="H82" i="36"/>
  <c r="H81" i="36"/>
  <c r="H80" i="36"/>
  <c r="H79" i="36"/>
  <c r="H78" i="36"/>
  <c r="H77" i="36"/>
  <c r="H76" i="36"/>
  <c r="H75" i="36"/>
  <c r="H87" i="36"/>
  <c r="H97" i="36"/>
  <c r="H71" i="36"/>
  <c r="H70" i="36"/>
  <c r="H69" i="36"/>
  <c r="H68" i="36"/>
  <c r="H67" i="36"/>
  <c r="H66" i="36"/>
  <c r="H65" i="36"/>
  <c r="H63" i="36"/>
  <c r="H62" i="36"/>
  <c r="H61" i="36"/>
  <c r="H60" i="36"/>
  <c r="H59" i="36"/>
  <c r="H58" i="36"/>
  <c r="H55" i="36"/>
  <c r="H54" i="36"/>
  <c r="H53" i="36"/>
  <c r="H52" i="36"/>
  <c r="H51" i="36"/>
  <c r="H50" i="36"/>
  <c r="H49" i="36"/>
  <c r="H48" i="36"/>
  <c r="H47" i="36"/>
  <c r="H46" i="36"/>
  <c r="H45" i="36"/>
  <c r="H44" i="36"/>
  <c r="H43" i="36"/>
  <c r="H42" i="36"/>
  <c r="H41" i="36"/>
  <c r="H40" i="36"/>
  <c r="H38" i="36"/>
  <c r="H37" i="36"/>
  <c r="H36" i="36"/>
  <c r="H35" i="36"/>
  <c r="H34" i="36"/>
  <c r="H33" i="36"/>
  <c r="H32" i="36"/>
  <c r="H31" i="36"/>
  <c r="H30" i="36"/>
  <c r="H29" i="36"/>
  <c r="H28" i="36"/>
  <c r="H27" i="36"/>
  <c r="H26" i="36"/>
  <c r="H25" i="36"/>
  <c r="H24" i="36"/>
  <c r="H23" i="36"/>
  <c r="H22" i="36"/>
  <c r="H18" i="36"/>
  <c r="H17" i="36"/>
  <c r="H16" i="36"/>
  <c r="H15" i="36"/>
  <c r="H14" i="36"/>
  <c r="H13" i="36"/>
  <c r="H12" i="36"/>
  <c r="H10" i="36"/>
  <c r="H9" i="36"/>
  <c r="H8" i="36"/>
  <c r="H7" i="36"/>
  <c r="H6" i="36"/>
  <c r="H5" i="36"/>
  <c r="H2" i="36"/>
  <c r="G41" i="35" l="1"/>
  <c r="G39" i="35"/>
  <c r="H50" i="40" l="1"/>
  <c r="O11" i="37" l="1"/>
  <c r="O10" i="37"/>
  <c r="O7" i="37"/>
  <c r="O6" i="37"/>
  <c r="O5" i="37"/>
  <c r="O4" i="37"/>
  <c r="O16" i="37" l="1"/>
  <c r="D109" i="41" s="1"/>
  <c r="G38" i="35"/>
  <c r="G37" i="35"/>
  <c r="G36" i="35"/>
  <c r="G35" i="35"/>
  <c r="G34" i="35"/>
  <c r="G33" i="35"/>
  <c r="G32" i="35"/>
  <c r="G31" i="35"/>
  <c r="G30" i="35"/>
  <c r="G29" i="35"/>
  <c r="C94" i="41"/>
  <c r="C119" i="41"/>
  <c r="C123" i="41" s="1"/>
  <c r="D99" i="41"/>
  <c r="D104" i="41" s="1"/>
  <c r="D59" i="41"/>
  <c r="C52" i="41"/>
  <c r="C36" i="41"/>
  <c r="C37" i="41" s="1"/>
  <c r="D22" i="41"/>
  <c r="D58" i="41" s="1"/>
  <c r="D66" i="41" l="1"/>
  <c r="D73" i="41" s="1"/>
  <c r="D23" i="41"/>
  <c r="D26" i="41"/>
  <c r="G42" i="35"/>
  <c r="C83" i="41"/>
  <c r="D29" i="41" l="1"/>
  <c r="G43" i="35"/>
  <c r="G44" i="35" s="1"/>
  <c r="D111" i="41" s="1"/>
  <c r="D77" i="41" l="1"/>
  <c r="D79" i="41"/>
  <c r="D80" i="41"/>
  <c r="D82" i="41"/>
  <c r="D78" i="41"/>
  <c r="D81" i="41"/>
  <c r="D92" i="41"/>
  <c r="D34" i="41"/>
  <c r="D45" i="41"/>
  <c r="D50" i="41"/>
  <c r="D130" i="41"/>
  <c r="D44" i="41"/>
  <c r="D90" i="41"/>
  <c r="D35" i="41"/>
  <c r="D48" i="41"/>
  <c r="D37" i="41"/>
  <c r="D89" i="41"/>
  <c r="D91" i="41"/>
  <c r="D47" i="41"/>
  <c r="D93" i="41"/>
  <c r="D88" i="41"/>
  <c r="D51" i="41"/>
  <c r="D49" i="41"/>
  <c r="D46" i="41"/>
  <c r="E44" i="40"/>
  <c r="E43" i="40"/>
  <c r="B44" i="40"/>
  <c r="B43" i="40"/>
  <c r="E31" i="40"/>
  <c r="E30" i="40"/>
  <c r="B31" i="40"/>
  <c r="B30" i="40"/>
  <c r="E37" i="40"/>
  <c r="E36" i="40"/>
  <c r="B37" i="40"/>
  <c r="B36" i="40"/>
  <c r="C19" i="40"/>
  <c r="C18" i="40"/>
  <c r="D94" i="41" l="1"/>
  <c r="D103" i="41" s="1"/>
  <c r="D105" i="41" s="1"/>
  <c r="D133" i="41" s="1"/>
  <c r="D52" i="41"/>
  <c r="D72" i="41" s="1"/>
  <c r="D36" i="41"/>
  <c r="D38" i="41" s="1"/>
  <c r="D71" i="41" s="1"/>
  <c r="D83" i="41"/>
  <c r="D132" i="41" s="1"/>
  <c r="D74" i="41" l="1"/>
  <c r="D131" i="41" s="1"/>
  <c r="D59" i="34"/>
  <c r="D59" i="33"/>
  <c r="D59" i="32"/>
  <c r="D59" i="31"/>
  <c r="D59" i="21"/>
  <c r="D24" i="33"/>
  <c r="J29" i="40" l="1"/>
  <c r="H42" i="40"/>
  <c r="M32" i="40"/>
  <c r="N32" i="40" s="1"/>
  <c r="M39" i="40"/>
  <c r="N39" i="40"/>
  <c r="O39" i="40"/>
  <c r="H98" i="36"/>
  <c r="D110" i="32" s="1"/>
  <c r="G21" i="35"/>
  <c r="G13" i="35"/>
  <c r="G11" i="35"/>
  <c r="G10" i="35"/>
  <c r="G9" i="35"/>
  <c r="G8" i="35"/>
  <c r="G7" i="35"/>
  <c r="G6" i="35"/>
  <c r="G5" i="35"/>
  <c r="G3" i="35"/>
  <c r="L34" i="40" l="1"/>
  <c r="K35" i="40" s="1"/>
  <c r="M33" i="40"/>
  <c r="M34" i="40" s="1"/>
  <c r="K29" i="40" s="1"/>
  <c r="H88" i="36"/>
  <c r="G14" i="35"/>
  <c r="G22" i="35"/>
  <c r="G23" i="35" s="1"/>
  <c r="C25" i="40"/>
  <c r="C24" i="40"/>
  <c r="C13" i="40"/>
  <c r="C12" i="40"/>
  <c r="C7" i="40"/>
  <c r="C6" i="40"/>
  <c r="D8" i="38"/>
  <c r="L8" i="38" s="1"/>
  <c r="G8" i="38" s="1"/>
  <c r="D9" i="38"/>
  <c r="I9" i="38" s="1"/>
  <c r="G9" i="38" s="1"/>
  <c r="D10" i="38"/>
  <c r="L10" i="38" s="1"/>
  <c r="G10" i="38" s="1"/>
  <c r="D11" i="38"/>
  <c r="D12" i="38"/>
  <c r="D13" i="38"/>
  <c r="D7" i="38"/>
  <c r="L7" i="38" s="1"/>
  <c r="G7" i="38" s="1"/>
  <c r="D36" i="40"/>
  <c r="D37" i="40" s="1"/>
  <c r="C13" i="38"/>
  <c r="C12" i="38"/>
  <c r="C11" i="38"/>
  <c r="C10" i="38"/>
  <c r="C9" i="38"/>
  <c r="C8" i="38"/>
  <c r="C7" i="38"/>
  <c r="K11" i="37"/>
  <c r="K9" i="37"/>
  <c r="K8" i="37"/>
  <c r="K7" i="37"/>
  <c r="K6" i="37"/>
  <c r="K5" i="37"/>
  <c r="K4" i="37"/>
  <c r="G10" i="37"/>
  <c r="G9" i="37"/>
  <c r="G8" i="37"/>
  <c r="G7" i="37"/>
  <c r="G6" i="37"/>
  <c r="G5" i="37"/>
  <c r="G4" i="37"/>
  <c r="C5" i="37"/>
  <c r="C6" i="37"/>
  <c r="C7" i="37"/>
  <c r="C8" i="37"/>
  <c r="C9" i="37"/>
  <c r="C10" i="37"/>
  <c r="C4" i="37"/>
  <c r="G16" i="37" l="1"/>
  <c r="L35" i="40"/>
  <c r="N35" i="40"/>
  <c r="G15" i="35"/>
  <c r="L15" i="38"/>
  <c r="I15" i="38"/>
  <c r="C119" i="34"/>
  <c r="C123" i="34" s="1"/>
  <c r="D99" i="34"/>
  <c r="D104" i="34" s="1"/>
  <c r="C94" i="34"/>
  <c r="C52" i="34"/>
  <c r="C36" i="34"/>
  <c r="C37" i="34" s="1"/>
  <c r="D22" i="34"/>
  <c r="D23" i="34" s="1"/>
  <c r="C119" i="33"/>
  <c r="C123" i="33" s="1"/>
  <c r="D99" i="33"/>
  <c r="D104" i="33" s="1"/>
  <c r="C94" i="33"/>
  <c r="C52" i="33"/>
  <c r="C36" i="33"/>
  <c r="C37" i="33" s="1"/>
  <c r="D22" i="33"/>
  <c r="D23" i="33" s="1"/>
  <c r="C119" i="32"/>
  <c r="C123" i="32" s="1"/>
  <c r="D99" i="32"/>
  <c r="D104" i="32" s="1"/>
  <c r="C94" i="32"/>
  <c r="C52" i="32"/>
  <c r="C36" i="32"/>
  <c r="C37" i="32" s="1"/>
  <c r="D22" i="32"/>
  <c r="D26" i="32" s="1"/>
  <c r="C119" i="31"/>
  <c r="C123" i="31" s="1"/>
  <c r="D99" i="31"/>
  <c r="D104" i="31" s="1"/>
  <c r="C94" i="31"/>
  <c r="C52" i="31"/>
  <c r="C36" i="31"/>
  <c r="D22" i="31"/>
  <c r="D23" i="31" s="1"/>
  <c r="D22" i="21"/>
  <c r="D58" i="21" s="1"/>
  <c r="C37" i="31" l="1"/>
  <c r="G15" i="38"/>
  <c r="G16" i="38" s="1"/>
  <c r="D26" i="33"/>
  <c r="D29" i="33" s="1"/>
  <c r="D78" i="33" s="1"/>
  <c r="G24" i="35"/>
  <c r="G16" i="35"/>
  <c r="D113" i="41" s="1"/>
  <c r="D134" i="41" s="1"/>
  <c r="D135" i="41" s="1"/>
  <c r="D117" i="41" s="1"/>
  <c r="C16" i="37"/>
  <c r="D109" i="21" s="1"/>
  <c r="K16" i="37"/>
  <c r="D109" i="34" s="1"/>
  <c r="D26" i="34"/>
  <c r="D29" i="34" s="1"/>
  <c r="C83" i="34"/>
  <c r="D58" i="34"/>
  <c r="D66" i="34" s="1"/>
  <c r="D73" i="34" s="1"/>
  <c r="C83" i="33"/>
  <c r="D58" i="33"/>
  <c r="D66" i="33" s="1"/>
  <c r="D73" i="33" s="1"/>
  <c r="D58" i="32"/>
  <c r="D66" i="32" s="1"/>
  <c r="D73" i="32" s="1"/>
  <c r="C83" i="32"/>
  <c r="D23" i="32"/>
  <c r="D29" i="32" s="1"/>
  <c r="D26" i="31"/>
  <c r="D29" i="31" s="1"/>
  <c r="D58" i="31"/>
  <c r="D66" i="31" s="1"/>
  <c r="D73" i="31" s="1"/>
  <c r="C83" i="31"/>
  <c r="D118" i="41" l="1"/>
  <c r="D119" i="41" s="1"/>
  <c r="D123" i="41" s="1"/>
  <c r="D136" i="41" s="1"/>
  <c r="D137" i="41" s="1"/>
  <c r="F52" i="40" s="1"/>
  <c r="G52" i="40" s="1"/>
  <c r="D109" i="33"/>
  <c r="D109" i="32"/>
  <c r="D113" i="32" s="1"/>
  <c r="D134" i="32" s="1"/>
  <c r="D109" i="31"/>
  <c r="D111" i="31"/>
  <c r="D111" i="34"/>
  <c r="D113" i="34" s="1"/>
  <c r="D134" i="34" s="1"/>
  <c r="D111" i="33"/>
  <c r="D112" i="31"/>
  <c r="D112" i="33"/>
  <c r="D45" i="34"/>
  <c r="D81" i="34"/>
  <c r="D47" i="34"/>
  <c r="D79" i="34"/>
  <c r="D35" i="34"/>
  <c r="D77" i="34"/>
  <c r="D46" i="34"/>
  <c r="D80" i="34"/>
  <c r="D93" i="34"/>
  <c r="D92" i="34"/>
  <c r="D130" i="34"/>
  <c r="D90" i="34"/>
  <c r="D48" i="34"/>
  <c r="D88" i="34"/>
  <c r="D50" i="34"/>
  <c r="D34" i="34"/>
  <c r="D89" i="34"/>
  <c r="D37" i="34"/>
  <c r="D49" i="34"/>
  <c r="D91" i="34"/>
  <c r="D82" i="34"/>
  <c r="D51" i="34"/>
  <c r="D44" i="34"/>
  <c r="D78" i="34"/>
  <c r="D89" i="33"/>
  <c r="D88" i="33"/>
  <c r="D46" i="33"/>
  <c r="D130" i="33"/>
  <c r="D45" i="33"/>
  <c r="D77" i="33"/>
  <c r="D82" i="33"/>
  <c r="D44" i="33"/>
  <c r="D37" i="33"/>
  <c r="D80" i="33"/>
  <c r="D93" i="33"/>
  <c r="D91" i="33"/>
  <c r="D49" i="33"/>
  <c r="D79" i="33"/>
  <c r="D92" i="33"/>
  <c r="D35" i="33"/>
  <c r="D47" i="33"/>
  <c r="D51" i="33"/>
  <c r="D50" i="33"/>
  <c r="D90" i="33"/>
  <c r="D34" i="33"/>
  <c r="D48" i="33"/>
  <c r="D81" i="33"/>
  <c r="D93" i="32"/>
  <c r="D79" i="32"/>
  <c r="D92" i="32"/>
  <c r="D51" i="32"/>
  <c r="D35" i="32"/>
  <c r="D77" i="32"/>
  <c r="D89" i="32"/>
  <c r="D88" i="32"/>
  <c r="D47" i="32"/>
  <c r="D45" i="32"/>
  <c r="D91" i="32"/>
  <c r="D46" i="32"/>
  <c r="D130" i="32"/>
  <c r="D48" i="32"/>
  <c r="D90" i="32"/>
  <c r="D82" i="32"/>
  <c r="D44" i="32"/>
  <c r="D81" i="32"/>
  <c r="D80" i="32"/>
  <c r="D37" i="32"/>
  <c r="D50" i="32"/>
  <c r="D49" i="32"/>
  <c r="D34" i="32"/>
  <c r="D78" i="32"/>
  <c r="D48" i="31"/>
  <c r="D77" i="31"/>
  <c r="D78" i="31"/>
  <c r="D81" i="31"/>
  <c r="D82" i="31"/>
  <c r="D89" i="31"/>
  <c r="D44" i="31"/>
  <c r="D47" i="31"/>
  <c r="D34" i="31"/>
  <c r="D90" i="31"/>
  <c r="D37" i="31"/>
  <c r="D80" i="31"/>
  <c r="D93" i="31"/>
  <c r="D79" i="31"/>
  <c r="D46" i="31"/>
  <c r="D51" i="31"/>
  <c r="D35" i="31"/>
  <c r="D91" i="31"/>
  <c r="D92" i="31"/>
  <c r="D49" i="31"/>
  <c r="D130" i="31"/>
  <c r="D45" i="31"/>
  <c r="D88" i="31"/>
  <c r="D50" i="31"/>
  <c r="C36" i="21"/>
  <c r="D36" i="34" l="1"/>
  <c r="D38" i="34" s="1"/>
  <c r="D71" i="34" s="1"/>
  <c r="D120" i="41"/>
  <c r="D122" i="41"/>
  <c r="D121" i="41"/>
  <c r="D52" i="34"/>
  <c r="D72" i="34" s="1"/>
  <c r="D36" i="33"/>
  <c r="D38" i="33" s="1"/>
  <c r="D71" i="33" s="1"/>
  <c r="D52" i="32"/>
  <c r="D72" i="32" s="1"/>
  <c r="D83" i="31"/>
  <c r="D132" i="31" s="1"/>
  <c r="D52" i="31"/>
  <c r="D72" i="31" s="1"/>
  <c r="D94" i="31"/>
  <c r="D103" i="31" s="1"/>
  <c r="D105" i="31" s="1"/>
  <c r="D133" i="31" s="1"/>
  <c r="D94" i="34"/>
  <c r="D103" i="34" s="1"/>
  <c r="D105" i="34" s="1"/>
  <c r="D133" i="34" s="1"/>
  <c r="D83" i="34"/>
  <c r="D132" i="34" s="1"/>
  <c r="D94" i="33"/>
  <c r="D103" i="33" s="1"/>
  <c r="D105" i="33" s="1"/>
  <c r="D133" i="33" s="1"/>
  <c r="D83" i="33"/>
  <c r="D132" i="33" s="1"/>
  <c r="D52" i="33"/>
  <c r="D72" i="33" s="1"/>
  <c r="D36" i="32"/>
  <c r="D38" i="32" s="1"/>
  <c r="D71" i="32" s="1"/>
  <c r="D74" i="32" s="1"/>
  <c r="D131" i="32" s="1"/>
  <c r="D94" i="32"/>
  <c r="D103" i="32" s="1"/>
  <c r="D105" i="32" s="1"/>
  <c r="D133" i="32" s="1"/>
  <c r="D83" i="32"/>
  <c r="D132" i="32" s="1"/>
  <c r="D36" i="31"/>
  <c r="D38" i="31" s="1"/>
  <c r="D71" i="31" s="1"/>
  <c r="F11" i="29"/>
  <c r="D74" i="34" l="1"/>
  <c r="D131" i="34" s="1"/>
  <c r="D135" i="34" s="1"/>
  <c r="D74" i="31"/>
  <c r="D131" i="31" s="1"/>
  <c r="D74" i="33"/>
  <c r="D131" i="33" s="1"/>
  <c r="D135" i="32"/>
  <c r="D117" i="32" s="1"/>
  <c r="D117" i="34" l="1"/>
  <c r="D118" i="34" s="1"/>
  <c r="D119" i="34" s="1"/>
  <c r="D118" i="32"/>
  <c r="D119" i="32" s="1"/>
  <c r="D123" i="34" l="1"/>
  <c r="D136" i="34" s="1"/>
  <c r="D137" i="34" s="1"/>
  <c r="D121" i="34" s="1"/>
  <c r="D123" i="32"/>
  <c r="D136" i="32" s="1"/>
  <c r="D137" i="32" s="1"/>
  <c r="F31" i="40" l="1"/>
  <c r="M29" i="40" s="1"/>
  <c r="N29" i="40" s="1"/>
  <c r="D120" i="34"/>
  <c r="D122" i="34"/>
  <c r="F37" i="40"/>
  <c r="G37" i="40" s="1"/>
  <c r="D120" i="32"/>
  <c r="D122" i="32"/>
  <c r="D121" i="32"/>
  <c r="G31" i="40" l="1"/>
  <c r="C47" i="29" l="1"/>
  <c r="D113" i="21" l="1"/>
  <c r="D134" i="21" s="1"/>
  <c r="C119" i="21"/>
  <c r="C123" i="21" s="1"/>
  <c r="D99" i="21"/>
  <c r="D104" i="21" s="1"/>
  <c r="C94" i="21"/>
  <c r="C52" i="21"/>
  <c r="C37" i="21" s="1"/>
  <c r="C83" i="21" l="1"/>
  <c r="D23" i="21"/>
  <c r="D66" i="21"/>
  <c r="D73" i="21" s="1"/>
  <c r="D26" i="21"/>
  <c r="D29" i="21" l="1"/>
  <c r="D82" i="21" l="1"/>
  <c r="D91" i="21"/>
  <c r="D79" i="21"/>
  <c r="D78" i="21"/>
  <c r="D92" i="21"/>
  <c r="D81" i="21"/>
  <c r="D90" i="21"/>
  <c r="D88" i="21"/>
  <c r="D80" i="21"/>
  <c r="D89" i="21"/>
  <c r="D77" i="21"/>
  <c r="D37" i="21"/>
  <c r="D130" i="21"/>
  <c r="D93" i="21"/>
  <c r="D45" i="21"/>
  <c r="D49" i="21"/>
  <c r="D34" i="21"/>
  <c r="D48" i="21"/>
  <c r="D46" i="21"/>
  <c r="D50" i="21"/>
  <c r="D47" i="21"/>
  <c r="D51" i="21"/>
  <c r="D35" i="21"/>
  <c r="D44" i="21"/>
  <c r="D36" i="21" l="1"/>
  <c r="D38" i="21" s="1"/>
  <c r="D71" i="21" s="1"/>
  <c r="D52" i="21"/>
  <c r="D72" i="21" s="1"/>
  <c r="D94" i="21"/>
  <c r="D83" i="21"/>
  <c r="D132" i="21" s="1"/>
  <c r="D103" i="21" l="1"/>
  <c r="D105" i="21" s="1"/>
  <c r="D133" i="21" s="1"/>
  <c r="D74" i="21"/>
  <c r="D131" i="21" s="1"/>
  <c r="D135" i="21" l="1"/>
  <c r="D117" i="21" l="1"/>
  <c r="D118" i="21" s="1"/>
  <c r="D119" i="21" s="1"/>
  <c r="D123" i="21" s="1"/>
  <c r="D136" i="21" s="1"/>
  <c r="D137" i="21" l="1"/>
  <c r="F51" i="40" s="1"/>
  <c r="G51" i="40" s="1"/>
  <c r="G53" i="40" l="1"/>
  <c r="D16" i="39" s="1"/>
  <c r="H53" i="40"/>
  <c r="D24" i="40"/>
  <c r="E24" i="40" s="1"/>
  <c r="D12" i="40"/>
  <c r="E12" i="40" s="1"/>
  <c r="D6" i="40"/>
  <c r="E6" i="40" s="1"/>
  <c r="D121" i="21"/>
  <c r="D122" i="21"/>
  <c r="D18" i="40"/>
  <c r="E18" i="40" s="1"/>
  <c r="F30" i="40"/>
  <c r="G30" i="40" s="1"/>
  <c r="H32" i="40" s="1"/>
  <c r="D120" i="21"/>
  <c r="F43" i="40"/>
  <c r="G43" i="40" s="1"/>
  <c r="F36" i="40"/>
  <c r="G36" i="40" s="1"/>
  <c r="G38" i="40" s="1"/>
  <c r="D14" i="39" s="1"/>
  <c r="G32" i="40" l="1"/>
  <c r="D13" i="39" s="1"/>
  <c r="F13" i="39" s="1"/>
  <c r="H38" i="40"/>
  <c r="F14" i="39"/>
  <c r="H3" i="36" l="1"/>
  <c r="H72" i="36" s="1"/>
  <c r="H90" i="36" s="1"/>
  <c r="H92" i="36" s="1"/>
  <c r="D110" i="33" l="1"/>
  <c r="D113" i="33" s="1"/>
  <c r="D134" i="33" s="1"/>
  <c r="D135" i="33" s="1"/>
  <c r="D110" i="31"/>
  <c r="D113" i="31" s="1"/>
  <c r="D134" i="31" s="1"/>
  <c r="D135" i="31" s="1"/>
  <c r="D117" i="31" l="1"/>
  <c r="D117" i="33"/>
  <c r="D118" i="33" l="1"/>
  <c r="D119" i="33" s="1"/>
  <c r="D123" i="33" s="1"/>
  <c r="D136" i="33" s="1"/>
  <c r="D137" i="33" s="1"/>
  <c r="D118" i="31"/>
  <c r="D119" i="31" s="1"/>
  <c r="D123" i="31" l="1"/>
  <c r="D136" i="31" s="1"/>
  <c r="D137" i="31" s="1"/>
  <c r="D121" i="31" s="1"/>
  <c r="D121" i="33"/>
  <c r="D120" i="33"/>
  <c r="D122" i="33"/>
  <c r="D19" i="40"/>
  <c r="E19" i="40" s="1"/>
  <c r="E20" i="40" s="1"/>
  <c r="D11" i="39" s="1"/>
  <c r="F11" i="39" s="1"/>
  <c r="D13" i="40" l="1"/>
  <c r="E13" i="40" s="1"/>
  <c r="E14" i="40" s="1"/>
  <c r="D10" i="39" s="1"/>
  <c r="F10" i="39" s="1"/>
  <c r="D122" i="31"/>
  <c r="D7" i="40"/>
  <c r="D120" i="31"/>
  <c r="G44" i="40"/>
  <c r="G45" i="40" s="1"/>
  <c r="D25" i="40"/>
  <c r="E25" i="40" s="1"/>
  <c r="E26" i="40" s="1"/>
  <c r="D12" i="39" s="1"/>
  <c r="F12" i="39" s="1"/>
  <c r="F16" i="39" l="1"/>
  <c r="D15" i="39"/>
  <c r="F15" i="39" s="1"/>
  <c r="E7" i="40"/>
  <c r="E8" i="40" s="1"/>
  <c r="D9" i="39" s="1"/>
  <c r="F9" i="39" s="1"/>
  <c r="H45" i="40"/>
  <c r="F17" i="39" l="1"/>
  <c r="F19" i="39" s="1"/>
</calcChain>
</file>

<file path=xl/comments1.xml><?xml version="1.0" encoding="utf-8"?>
<comments xmlns="http://schemas.openxmlformats.org/spreadsheetml/2006/main">
  <authors>
    <author>Itamar Rodrigues Silva Filho</author>
  </authors>
  <commentList>
    <comment ref="B57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2.xml><?xml version="1.0" encoding="utf-8"?>
<comments xmlns="http://schemas.openxmlformats.org/spreadsheetml/2006/main">
  <authors>
    <author>Itamar Rodrigues Silva Filho</author>
  </authors>
  <commentList>
    <comment ref="B57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3.xml><?xml version="1.0" encoding="utf-8"?>
<comments xmlns="http://schemas.openxmlformats.org/spreadsheetml/2006/main">
  <authors>
    <author>Itamar Rodrigues Silva Filho</author>
  </authors>
  <commentList>
    <comment ref="B57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4.xml><?xml version="1.0" encoding="utf-8"?>
<comments xmlns="http://schemas.openxmlformats.org/spreadsheetml/2006/main">
  <authors>
    <author>Itamar Rodrigues Silva Filho</author>
  </authors>
  <commentList>
    <comment ref="B57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5.xml><?xml version="1.0" encoding="utf-8"?>
<comments xmlns="http://schemas.openxmlformats.org/spreadsheetml/2006/main">
  <authors>
    <author>Itamar Rodrigues Silva Filho</author>
  </authors>
  <commentList>
    <comment ref="B57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6.xml><?xml version="1.0" encoding="utf-8"?>
<comments xmlns="http://schemas.openxmlformats.org/spreadsheetml/2006/main">
  <authors>
    <author>Itamar Rodrigues Silva Filho</author>
  </authors>
  <commentList>
    <comment ref="B57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7.xml><?xml version="1.0" encoding="utf-8"?>
<comments xmlns="http://schemas.openxmlformats.org/spreadsheetml/2006/main">
  <authors>
    <author>Itamar Rodrigues Silva Filho</author>
  </authors>
  <commentList>
    <comment ref="B21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</commentList>
</comments>
</file>

<file path=xl/sharedStrings.xml><?xml version="1.0" encoding="utf-8"?>
<sst xmlns="http://schemas.openxmlformats.org/spreadsheetml/2006/main" count="2079" uniqueCount="517">
  <si>
    <t>%</t>
  </si>
  <si>
    <t>A</t>
  </si>
  <si>
    <t>B</t>
  </si>
  <si>
    <t>C</t>
  </si>
  <si>
    <t>D</t>
  </si>
  <si>
    <t>E</t>
  </si>
  <si>
    <t>F</t>
  </si>
  <si>
    <t>G</t>
  </si>
  <si>
    <t>Outros (especificar)</t>
  </si>
  <si>
    <t>INSS</t>
  </si>
  <si>
    <t>INCRA</t>
  </si>
  <si>
    <t>FGTS</t>
  </si>
  <si>
    <t>SEBRAE</t>
  </si>
  <si>
    <t>Aviso Prévio Indenizado</t>
  </si>
  <si>
    <t>Discriminação dos Serviços (dados referentes à contratação)</t>
  </si>
  <si>
    <t>Salário Normativo da Categoria Profissional</t>
  </si>
  <si>
    <t>Adicional de Periculosidade</t>
  </si>
  <si>
    <t>Benefícios Mensais e Diários</t>
  </si>
  <si>
    <t>Insumos Diversos</t>
  </si>
  <si>
    <t>Uniformes</t>
  </si>
  <si>
    <t>4.1</t>
  </si>
  <si>
    <t>4.2</t>
  </si>
  <si>
    <t>Provisão para Rescisão</t>
  </si>
  <si>
    <t>Aviso Prévio Trabalhado</t>
  </si>
  <si>
    <t>Custos Indiretos, Tributos e Lucro</t>
  </si>
  <si>
    <t>Custos Indiretos</t>
  </si>
  <si>
    <t>Módulo 1 - Composição da Remuneração</t>
  </si>
  <si>
    <t>Materiais</t>
  </si>
  <si>
    <t>SECRETARIA EXECUTIVA</t>
  </si>
  <si>
    <t>SUBSECRETARIA DE ASSUNTOS ADMINISTRATIVOS</t>
  </si>
  <si>
    <t>PLANILHA DE CUSTOS E FORMAÇÃO DE CUSTOS</t>
  </si>
  <si>
    <t xml:space="preserve">A </t>
  </si>
  <si>
    <t xml:space="preserve">Data de apresentação da proposta (dia/mês/ano) </t>
  </si>
  <si>
    <t xml:space="preserve">B </t>
  </si>
  <si>
    <t xml:space="preserve">Município/UF </t>
  </si>
  <si>
    <t>Brasília/DF</t>
  </si>
  <si>
    <t xml:space="preserve">C </t>
  </si>
  <si>
    <t xml:space="preserve">Ano Acordo, Convenção ou Sentença Normativa em Dissídio Coletivo, Nº do registro no MTE </t>
  </si>
  <si>
    <t xml:space="preserve">Nº de meses de execução contratual </t>
  </si>
  <si>
    <t xml:space="preserve">Dados complementares para composição dos custos referente à mão-de-obra </t>
  </si>
  <si>
    <t>Tipo de serviço (mesmo serviço com características distintas)</t>
  </si>
  <si>
    <t xml:space="preserve">Categoria profissional (vinculada à execução contratual) </t>
  </si>
  <si>
    <t xml:space="preserve">Data base da categoria (dia/mês/ano) </t>
  </si>
  <si>
    <t xml:space="preserve">Composição da remuneração </t>
  </si>
  <si>
    <t xml:space="preserve">Valor (R$) </t>
  </si>
  <si>
    <t xml:space="preserve">Salário Base </t>
  </si>
  <si>
    <t xml:space="preserve">Adicional de insalubridade </t>
  </si>
  <si>
    <t xml:space="preserve">D </t>
  </si>
  <si>
    <t xml:space="preserve">Adicional noturno </t>
  </si>
  <si>
    <t xml:space="preserve">E </t>
  </si>
  <si>
    <t>Adicional de Hora Noturna reduzida</t>
  </si>
  <si>
    <t xml:space="preserve">G </t>
  </si>
  <si>
    <t xml:space="preserve">Intervalo Intrajornada </t>
  </si>
  <si>
    <t xml:space="preserve">H </t>
  </si>
  <si>
    <t>Descanso Semanal Remunerado</t>
  </si>
  <si>
    <t xml:space="preserve">Total da Remuneração 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</si>
  <si>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</si>
  <si>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</si>
  <si>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</si>
  <si>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</si>
  <si>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 xml:space="preserve">% </t>
  </si>
  <si>
    <t xml:space="preserve">13 º Salário </t>
  </si>
  <si>
    <t>Férias e Adicional de Férias</t>
  </si>
  <si>
    <t xml:space="preserve">Total 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</si>
  <si>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</si>
  <si>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</si>
  <si>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</si>
  <si>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INSS </t>
  </si>
  <si>
    <t xml:space="preserve">Salário Educação </t>
  </si>
  <si>
    <t>SAT</t>
  </si>
  <si>
    <t>SESC ou SESI</t>
  </si>
  <si>
    <t>SENAI - SENAC</t>
  </si>
  <si>
    <t xml:space="preserve">F </t>
  </si>
  <si>
    <t xml:space="preserve">SEBRAE </t>
  </si>
  <si>
    <t xml:space="preserve">TOTAL </t>
  </si>
  <si>
    <t>Submódulo 2.3 - Benefícios Mensais e Diários.</t>
  </si>
  <si>
    <t>2.3</t>
  </si>
  <si>
    <t xml:space="preserve">Transporte </t>
  </si>
  <si>
    <t>Auxílio- Refeição/ Alimentação  (Vales, Cestas básicas, etc)</t>
  </si>
  <si>
    <t xml:space="preserve">Fundo Social Odontológico </t>
  </si>
  <si>
    <t>Plano de Saúde</t>
  </si>
  <si>
    <t>Seguro de vida, invalidez e funeral</t>
  </si>
  <si>
    <t>Auxílio creche</t>
  </si>
  <si>
    <t>Contribuição Negocial</t>
  </si>
  <si>
    <t>Processamento em folha</t>
  </si>
  <si>
    <t xml:space="preserve">Total de Benefícios mensais e diários </t>
  </si>
  <si>
    <t>Quadro-Resumo do Módulo 2 - Encargos e Benefícios anuais, mensais e diários</t>
  </si>
  <si>
    <t>Encargos e Benefícios Anuais, Mensais e Diários</t>
  </si>
  <si>
    <t>Valor (R$)</t>
  </si>
  <si>
    <t>Total</t>
  </si>
  <si>
    <t>Módulo 3 - Provisão para Rescisão</t>
  </si>
  <si>
    <t>Incidência do FGTS sobre o Aviso Prévio Indenizado</t>
  </si>
  <si>
    <t>Multa do FGTS e contribuição social sobre o Aviso Prévio Indenizado</t>
  </si>
  <si>
    <t>Multa do FGTS e contribuição social sobre o Aviso Prévio Trabalhado</t>
  </si>
  <si>
    <t>Módulo 4 - Custo de Reposição do Profissional Ausente</t>
  </si>
  <si>
    <t>Submódulo 4.1 - Ausências Legais</t>
  </si>
  <si>
    <t>Substituto nas Ausências Legais</t>
  </si>
  <si>
    <t>Substituto na cobertura de Ausências Legais</t>
  </si>
  <si>
    <t>Substituto na cobertura de Licença-Paternidade</t>
  </si>
  <si>
    <t>Substituto na cobertura de Ausência por acidente de trabalho</t>
  </si>
  <si>
    <t xml:space="preserve"> Substituto na cobertura de Afastamento Maternidade</t>
  </si>
  <si>
    <t>Submódulo 4.2 - Substituto na Intrajornada</t>
  </si>
  <si>
    <t>Substituto na Intrajornada</t>
  </si>
  <si>
    <t>Quadro-Resumo do Módulo 4 - Custo de Reposição do Profissional Ausente</t>
  </si>
  <si>
    <t>Custo de Reposição do Profissional Ausente</t>
  </si>
  <si>
    <t>Módulo 5 - Insumos Diversos</t>
  </si>
  <si>
    <t>Módulo 6 - Custos Indiretos, Tributos e Lucro</t>
  </si>
  <si>
    <t>Percentual (%)</t>
  </si>
  <si>
    <t>Lucro</t>
  </si>
  <si>
    <t>Tributos</t>
  </si>
  <si>
    <t>C.1. Tributos Federais (PIS, COFINS)</t>
  </si>
  <si>
    <t>C.2. Tributos Estaduais (ISS)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</si>
  <si>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</si>
  <si>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</si>
  <si>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</si>
  <si>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</si>
  <si>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</si>
  <si>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</si>
  <si>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BASE LEGAL</t>
  </si>
  <si>
    <t>SESI/SESC</t>
  </si>
  <si>
    <t>SENAI/SENAC</t>
  </si>
  <si>
    <t>SALÁRIO EDUCAÇÃO</t>
  </si>
  <si>
    <t>INSTRUÇÃO NORMATIVA MTE/SIT Nº 25, DE 20 DE DEZEMBRO DE 2001</t>
  </si>
  <si>
    <t>Acórdão 2.217/2010 – Plenário</t>
  </si>
  <si>
    <t>CILT nos valores limites para contratação conforme Planilha do Ministério do Planejamento - IN 05/2017</t>
  </si>
  <si>
    <t xml:space="preserve">Lei Complementar nº 116, de 31 de julho de 2003 </t>
  </si>
  <si>
    <t>Art. 2°, § 3º, da Lei 11.457, de 16 de março de 2007.</t>
  </si>
  <si>
    <t>Art. 15, Lei nº 8.036/90 e Art. 7º, III, CF.</t>
  </si>
  <si>
    <t>Art. 1°, I, 2 c/c art. 3°, ambos do Decreto-Lei 1.146, de 31 de dezembro de 1970.</t>
  </si>
  <si>
    <t>SEGURO ACIDENTE DE TRABALHO= SAT X FAP</t>
  </si>
  <si>
    <t xml:space="preserve">INSTRUÇÃO NORMATIVA Nº 5, DE 26 DE MAIO DE 2017 (Atualizada) e </t>
  </si>
  <si>
    <t>INSTRUÇÃO NORMATIVA Nº 7, DE 20 DE SETEMBRO DE 2018.</t>
  </si>
  <si>
    <t>Classificação Brasileira de Ocupações (CBO):</t>
  </si>
  <si>
    <t>RAT - 1% - Serviços combinados de escritório e apoio administrativo – código 8211-3/00, todos do Anexo V do Decreto nº 3.048/1999); - FAP: 2 (padrão) . Observação: A licitante deve preencher o item A.08 das planilhas de composição de custos e formação de preços com o valor de seu FAP, a ser comprovado no envio de sua proposta adequada ao lance vencedor, mediante apresentação da GFIP ou outro documento apto a fazêlo.</t>
  </si>
  <si>
    <t>Artigo 2º da Lei nº 10.637/02 e Art.2º da Lei 10.833, de 29 de dezembro de 2003. Os tributos (COFINS e PIS) foram definidos utilizando o regime de tributação de Lucro REAL. A licitante deve elaborar sua proposta e, por conseguinte, sua planilha com base no regime de tributação ao qual estará submetida durante a execução do contrato.</t>
  </si>
  <si>
    <t>Cálculo: [(1/12)x100] - Art 7 º, inciso VIII, da Constituição Federal, Lei nº 4 090 62 e Lei nº 787/89</t>
  </si>
  <si>
    <t>Cálculo: [(100% / 30) x 7] / 12 = 1,944% - Acórdão 3.006/2010 – Plenário e Art. 7º, XXI, CF/88, 477, 487 e ss. da CLT</t>
  </si>
  <si>
    <t>Cálculo: [(100% / 30) x 1,4947] / 12 = 0,42 - Art. 473 da CLT</t>
  </si>
  <si>
    <t>Cálculo: {[(100% /30) x 15] / 12} x (nºCAT/População INSS CAT) = 0,051% - Art. 19 a 23 da Lei
nº 8.213/91</t>
  </si>
  <si>
    <t xml:space="preserve">Cálculo: {[(4/12]*0,0005}x100, considerando que 0,05% dos empregados utilizarão a licença. - Art. 7º inc XVIII, CF, Lei 8.213/91, art 72 da lei 11.770/2008 </t>
  </si>
  <si>
    <t>Equipamentos: Ponto Biométrico</t>
  </si>
  <si>
    <t>Nota 1: O Módulo 1 refere-se ao valor mensal devido ao empregado pela prestação do serviço no período de 12 meses.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</si>
  <si>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</si>
  <si>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</si>
  <si>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</si>
  <si>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1: O valor informado deverá ser o custo real do benefício (descontado o valor eventualmente pago pelo posto).</t>
  </si>
  <si>
    <t>Nota 2: Observar a previsão dos benefícios contidos em Acordos, Convenções e Dissídios Coletivos de Trabalho e atentar-se ao disposto no art. 6º desta Instrução Normativa SEGES Nº 05/2017.</t>
  </si>
  <si>
    <t>Nota 1: O somatório dos percentuais referentes a Multa do FGTS e contribuição social sobre o Aviso Prévio Indenizado e a Multa do FGTS e contribuição social sobre o Aviso Prévio Trabalhado não deverão ultrapassar a 5% conforme o Anexo XI da IN 05/2017-SG/MPDG</t>
  </si>
  <si>
    <t>Nota 1: Custos Indiretos, Tributos e Lucro por empregado.</t>
  </si>
  <si>
    <t>Nota 2: Os percentuais de Custos Indiretos (5%) e de Lucro (5%) por posto indicados acima estão menores que os máximos aceitáveis, de acordo com o Acórdão 2.369/2011- TCU – Plenário.</t>
  </si>
  <si>
    <t>Nota 3: O orçamento dos custos dos serviços foi estimado levando-se em consideração empresas optantes pelo Lucro Real.</t>
  </si>
  <si>
    <t>Nota 1: Como a planilha de custos e formação de preços é calculada mensalmente, provisiona-se proporcionalmente 1/12 (um doze avos) dos valores referentes a gratificação natalina, férias e adicional de férias. (Redação dada pela Instrução Normativa nº 7, de 2018)</t>
  </si>
  <si>
    <t>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  (Incluído pela Instrução Normativa nº 7, de 2018)</t>
  </si>
  <si>
    <t>Nota 1: 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</si>
  <si>
    <t>Incidência de GPS, FGTS e outras contribuições sobre o Aviso Prévio Trabalhado</t>
  </si>
  <si>
    <t>Substituto na cobertura de Férias</t>
  </si>
  <si>
    <t>Substituto na cobertura de Afastamento Maternidade</t>
  </si>
  <si>
    <t>Substituto na cobertura de Intervalo para repouso ou alimentação</t>
  </si>
  <si>
    <t>H</t>
  </si>
  <si>
    <t>Art. 3º, Inciso I, Decreto 87.043, de 22 de março de 1982.</t>
  </si>
  <si>
    <t>Art. 30, Lei 8.036, de 11 de maio de 1990.</t>
  </si>
  <si>
    <t>Art. 1º, caput, Decreto-Lei 6.246, de 1944 (SENAI) e art. 4º, caput do Decreto-Lei 8.621, de 1946 (SENAC).</t>
  </si>
  <si>
    <t>Art. 8º, Lei 8.029, de 12 de abril de 1990.</t>
  </si>
  <si>
    <t>Cálculo: {[(5/30)/12]x0,015}x 100, considerando 5 dias de afastamento e que 1% dos homens - Art. 7º inc XIX da CF terão direito a licença</t>
  </si>
  <si>
    <t xml:space="preserve">Subtotal </t>
  </si>
  <si>
    <t>Incidência dos encargos previstos no Submódulo 2.2 sobre 13º Salário, Férias e Adicional de Férias</t>
  </si>
  <si>
    <t>Nota 3: Esses percentuais incidem sobre o Módulo 1, o Submódulo 2.1. (Redação dada pela Instrução Normativa nº 7, de 2018)</t>
  </si>
  <si>
    <t>Item 14 - anexo VII, IN 05/2017 - MP e Art 8º da IN CJF nº 001/2013 - Cáculo: Férias - [(1/11) x 100] = 9,09 e 1/3 constitucional - [(1/3) x (1/11) x 100]=3,03%</t>
  </si>
  <si>
    <t>Item 14 - anexo VII, da IN 05/2017, IN nº 05/2017 - Anexo VII-D; IN nº 07/2018</t>
  </si>
  <si>
    <t>APOIO ADMINISTRATIVO</t>
  </si>
  <si>
    <t>DD/MM/2020</t>
  </si>
  <si>
    <t>COORDENAÇÃO-GERAL DE GESTÃO ADMINISTRATIVA</t>
  </si>
  <si>
    <t>COORDENAÇÃO DE MODERNIZAÇÃO E ELABORAÇÃO DE PROJETOS</t>
  </si>
  <si>
    <t>Vale Transporte, Decreto Distrital 40.392 (a partir de 20/01/2020)</t>
  </si>
  <si>
    <t>ITEM</t>
  </si>
  <si>
    <t>VALOR TOTAL</t>
  </si>
  <si>
    <t>Unidade</t>
  </si>
  <si>
    <t>Carrinho de mão</t>
  </si>
  <si>
    <t>Enxada para jardins</t>
  </si>
  <si>
    <t>Escada de alumínio 05 degraus</t>
  </si>
  <si>
    <t>Kit Limpa Vidro, completo</t>
  </si>
  <si>
    <t>Limpador a vapor profissional</t>
  </si>
  <si>
    <t>Mopp completo</t>
  </si>
  <si>
    <t>Rastelo plástico.</t>
  </si>
  <si>
    <t>Tesoura de podar pequena</t>
  </si>
  <si>
    <t>DISCRIMINAÇÃO DOS MATERIAIS DE LIMPEZA E CONSERVAÇÃO</t>
  </si>
  <si>
    <t>Litro</t>
  </si>
  <si>
    <t>Água Sanitária 5 litros</t>
  </si>
  <si>
    <t>Galão</t>
  </si>
  <si>
    <t>Álcool 70º</t>
  </si>
  <si>
    <t>Álcool 92,8º</t>
  </si>
  <si>
    <t>Balde Plástico capacidade 10 litros</t>
  </si>
  <si>
    <t>Peça</t>
  </si>
  <si>
    <t>Cera Emulsão Hiper. Incolor 5 litros</t>
  </si>
  <si>
    <t>Cera Pronto Uso Brilho Way 5 litros</t>
  </si>
  <si>
    <t>Cera Suprema Metalic Incolor 5 litros</t>
  </si>
  <si>
    <t>Desinfetante Concentrado Tropical Galão com 5 litros</t>
  </si>
  <si>
    <t>Desinfetante Concentrado Talco 5 litros</t>
  </si>
  <si>
    <t>Desodorizador de ambientes, em aerosol Frasco com 400ml</t>
  </si>
  <si>
    <t>Frasco</t>
  </si>
  <si>
    <t>Detergente neutro limpeza geral 5 litros</t>
  </si>
  <si>
    <t>Disco Polidor 380’</t>
  </si>
  <si>
    <t>Disco Polidor 510’</t>
  </si>
  <si>
    <t>Disco Removedor 380’</t>
  </si>
  <si>
    <t>Disco Removedor 510’</t>
  </si>
  <si>
    <t>Escova Oval</t>
  </si>
  <si>
    <t>Esponja Dupla Face</t>
  </si>
  <si>
    <t>Flanela alvejada para limpeza, 40 X 60 cm</t>
  </si>
  <si>
    <t>Kg</t>
  </si>
  <si>
    <t>Limpa carpete 5 litros</t>
  </si>
  <si>
    <t>Limpa Cerâmica Sanrrer 5 litros</t>
  </si>
  <si>
    <t>Limpa vidros 5 litros</t>
  </si>
  <si>
    <t>Limpador Multiuso Concentrado (Zaz) 5 litros</t>
  </si>
  <si>
    <t>Óleo de peroba frasco 100ml</t>
  </si>
  <si>
    <t>Pá plástica para recolher lixo</t>
  </si>
  <si>
    <t>Papel Higiênico, de primeira qualidade, na cor branca, 100% algodão, 100% fibras virgens, folha dupla, rolo com 30 metros Fardo com 40 rolos</t>
  </si>
  <si>
    <t>Fardo</t>
  </si>
  <si>
    <t>Papel Higiênico, de primeira qualidade, cor branca, 100% algodão, 100% fibras virgens, folha dupla – bobina com 200 metros</t>
  </si>
  <si>
    <t>Caixa</t>
  </si>
  <si>
    <t>Pacote</t>
  </si>
  <si>
    <t>Pasta Rosa</t>
  </si>
  <si>
    <t>Removedor de cera – galão com 5 litros</t>
  </si>
  <si>
    <t>Rodo 40 cm - cabo longo</t>
  </si>
  <si>
    <t>Rodo 60 cm - cabo longo</t>
  </si>
  <si>
    <t>Sabão em pó</t>
  </si>
  <si>
    <t>Sabão em Barra</t>
  </si>
  <si>
    <t>Sabão liquido (limpeza geral) hiperconcentrado, galão com 5 litros</t>
  </si>
  <si>
    <t>Sabonete líquido 5 litros (para as mãos) perolado Fnisk (ou similar)</t>
  </si>
  <si>
    <t>Saco para Lixo, reforçado, na cor preta, capacidade de 100 litros Pacote com 100 sacos</t>
  </si>
  <si>
    <t>Saco para lixo, reforçado, na cor branca (uso hospitalar), capacidade para 40 litros pacote com 100 sacos</t>
  </si>
  <si>
    <t>Saco para aspirador de pó, pacote com 3 unidades</t>
  </si>
  <si>
    <t>Saco para aspirador de pó GT 2000</t>
  </si>
  <si>
    <t>Sapólio em pó</t>
  </si>
  <si>
    <t>kg</t>
  </si>
  <si>
    <t>Vaselina</t>
  </si>
  <si>
    <t>Vassoura de Pelo – 60 cm c/ cabo</t>
  </si>
  <si>
    <t>Vassoura para limpeza de vaso sanitário</t>
  </si>
  <si>
    <t>Vassoura Piaçava</t>
  </si>
  <si>
    <t>Vassoura tipo gari, 40 cm</t>
  </si>
  <si>
    <t>Vassoura tipo gari, 60 cm</t>
  </si>
  <si>
    <t>DISCRIMINAÇÃO DOS MATERIAIS DE LIMPEZA E CONSERVAÇÃO ÁREA HOSPITALAR</t>
  </si>
  <si>
    <t>Álcool 70%</t>
  </si>
  <si>
    <t>Litros</t>
  </si>
  <si>
    <t>Hipoclorito a 1%</t>
  </si>
  <si>
    <t>Detergente líquido</t>
  </si>
  <si>
    <t>Desinfetantes</t>
  </si>
  <si>
    <t>Lt</t>
  </si>
  <si>
    <t>Soluções de limpeza para mobiliários , paredes e fórmicas</t>
  </si>
  <si>
    <t>Pç</t>
  </si>
  <si>
    <t>Sabonete líquido com desinfetante para as mãos nos consultórios</t>
  </si>
  <si>
    <t>Papel toalha para as mãos ( reposição contínua nos consultórios) interfolhado pacote 1000 folhas</t>
  </si>
  <si>
    <t>pc</t>
  </si>
  <si>
    <t>pç</t>
  </si>
  <si>
    <t>Esponjas</t>
  </si>
  <si>
    <t>Lençol descartável de papel para maca em rolo de 70cm x 50m</t>
  </si>
  <si>
    <t>rolo</t>
  </si>
  <si>
    <t>I. ENCARREGADO</t>
  </si>
  <si>
    <t>II. SERVENTES:</t>
  </si>
  <si>
    <t>III. JAUZEIROS:</t>
  </si>
  <si>
    <t>VALOR UNITÁRIO</t>
  </si>
  <si>
    <t>a) 2 calças, na cor preta;</t>
  </si>
  <si>
    <t>a) 2 calças;</t>
  </si>
  <si>
    <t>b)     2     camisas   em popeline 100% algodão, manga comprida, na cor branca;</t>
  </si>
  <si>
    <t>b) 3 blusas, camisas ou camisetas de mangas curtas;</t>
  </si>
  <si>
    <t>c) 2 cintos em couro, de boa qualidade, na cor preta;</t>
  </si>
  <si>
    <t>c) 3 pares de meias;</t>
  </si>
  <si>
    <t>d) 2 pares de meia,  na cor preta;</t>
  </si>
  <si>
    <t>d) 2 cintos de nylon;</t>
  </si>
  <si>
    <t>e)  2  pares  de  sapato em couro, na cor preta.</t>
  </si>
  <si>
    <t>e)  2  pares  de  sapato   ou tênis;</t>
  </si>
  <si>
    <t>e) 2 pares de sapato ou tênis;</t>
  </si>
  <si>
    <t>g)   2   pares   de   botas de borracha;</t>
  </si>
  <si>
    <t>QUADRO EFETIVO POR PRODUTIVIDADE</t>
  </si>
  <si>
    <t>TIPO DE ÁREA</t>
  </si>
  <si>
    <t>Área (M2)</t>
  </si>
  <si>
    <t>Produtividade Mínima</t>
  </si>
  <si>
    <t>Efetivo</t>
  </si>
  <si>
    <t>Encarregado</t>
  </si>
  <si>
    <t>Servente/ Jauzeiro</t>
  </si>
  <si>
    <t>Jauzeiro</t>
  </si>
  <si>
    <t>Servente Insalubre</t>
  </si>
  <si>
    <t>Servente</t>
  </si>
  <si>
    <t>(1) MINISTÉRIO DA EDUCAÇÃO</t>
  </si>
  <si>
    <t>-</t>
  </si>
  <si>
    <t>TOTAL DO PRÉDIO</t>
  </si>
  <si>
    <t>TOTAL GERAL DO PRÉDIO</t>
  </si>
  <si>
    <t>PREÇO MENSAL UNITÁRIO (R$/M²)</t>
  </si>
  <si>
    <t>Subtotal (R$)</t>
  </si>
  <si>
    <t>Área Interna</t>
  </si>
  <si>
    <t>Área Externa</t>
  </si>
  <si>
    <t>Posto Atendimento Médico Odontológico</t>
  </si>
  <si>
    <t>Banheiros</t>
  </si>
  <si>
    <t>Vidros Externos / Face Interna</t>
  </si>
  <si>
    <t>Vidros Externos / Face Externa</t>
  </si>
  <si>
    <t>Esquadrias</t>
  </si>
  <si>
    <t>SUBTOTAL MENSAL</t>
  </si>
  <si>
    <t>Total Anual</t>
  </si>
  <si>
    <t>PLANILHA PREÇO MENSAL UNITÁRIO POR M2</t>
  </si>
  <si>
    <t>ÁREA INTERNA</t>
  </si>
  <si>
    <t>Mão-de--obra</t>
  </si>
  <si>
    <t>Produtividade (1/m2</t>
  </si>
  <si>
    <t>Preço Homem Mês (R$)</t>
  </si>
  <si>
    <t>Subtotal (R$/M2)</t>
  </si>
  <si>
    <t>TOTAL</t>
  </si>
  <si>
    <t>ÁREA EXTERNA</t>
  </si>
  <si>
    <t>POSTO ATENDIMENTO MÉDICO ODONTOLÓGICO</t>
  </si>
  <si>
    <t>BANHEIROS</t>
  </si>
  <si>
    <t xml:space="preserve">Servente </t>
  </si>
  <si>
    <t>Vidros Externos / Face Interna - periodicidade quinzenal</t>
  </si>
  <si>
    <t>Produtividade (1/m2)               (a)</t>
  </si>
  <si>
    <t>Frequência no mês (horas)                             (b)</t>
  </si>
  <si>
    <t>Jornada de Trabalho mês (horas)                  (c )</t>
  </si>
  <si>
    <t>Ki                           (d)=(a)x(b)x(c )</t>
  </si>
  <si>
    <t>1/191,40</t>
  </si>
  <si>
    <t>Vidros Externos / Face Externa - periodicidade trimestral</t>
  </si>
  <si>
    <t>Produtividade  (1/m2)               (a)</t>
  </si>
  <si>
    <t>Frequência no mês (horas                             (b)</t>
  </si>
  <si>
    <t>Jornada de Trabalho mês (horas)                   (c )</t>
  </si>
  <si>
    <t>Preço grupo Homem Mês (R$)</t>
  </si>
  <si>
    <t>Esquadrias - Periodicidade mensal</t>
  </si>
  <si>
    <t>Produtividade grupo juazeiros (1/m2)               (a)</t>
  </si>
  <si>
    <t>Produtividade (1/m2)</t>
  </si>
  <si>
    <t>UND</t>
  </si>
  <si>
    <t>QTDE “A”</t>
  </si>
  <si>
    <t>Marca</t>
  </si>
  <si>
    <t>Valor Unitário R$ “B”</t>
  </si>
  <si>
    <t>Valor Total R$ “A” x “B”</t>
  </si>
  <si>
    <t>Tramontina</t>
  </si>
  <si>
    <t>Eletrolux</t>
  </si>
  <si>
    <t>Primepro</t>
  </si>
  <si>
    <t>MOR</t>
  </si>
  <si>
    <t>Betannin</t>
  </si>
  <si>
    <t>Karcher</t>
  </si>
  <si>
    <t>VALOR TOTAL DEPRECIADO (60 MESES)</t>
  </si>
  <si>
    <t>VALOR TOTAL POR FUNCIONÁRIO</t>
  </si>
  <si>
    <t>EQUIPAMENTOS E FERRAMENTAS • LIMPEZA E CONSERVAÇÃO</t>
  </si>
  <si>
    <t xml:space="preserve">Itens </t>
  </si>
  <si>
    <t>Especificações</t>
  </si>
  <si>
    <t>Unidade de Medida</t>
  </si>
  <si>
    <t>quantidade anual</t>
  </si>
  <si>
    <t>Valor Unitário</t>
  </si>
  <si>
    <t>Valor Total</t>
  </si>
  <si>
    <t>Lavadora/Secadora de pisos à cabo 460MM - BD530 CABO - Karcher</t>
  </si>
  <si>
    <t xml:space="preserve">Subtotal Mensal </t>
  </si>
  <si>
    <t>Subtotal Mensal por funcionário</t>
  </si>
  <si>
    <t>Equipamentos</t>
  </si>
  <si>
    <t>Equipamento produtividade</t>
  </si>
  <si>
    <t>Equipamentos produtividade</t>
  </si>
  <si>
    <t>Marca / Similar</t>
  </si>
  <si>
    <t>Start</t>
  </si>
  <si>
    <t>Qbão</t>
  </si>
  <si>
    <t>Itajá</t>
  </si>
  <si>
    <t>Tambasa</t>
  </si>
  <si>
    <t>Scotch Brite</t>
  </si>
  <si>
    <t>Well</t>
  </si>
  <si>
    <t>Kelldrin</t>
  </si>
  <si>
    <t>3M</t>
  </si>
  <si>
    <t>Varrebrás</t>
  </si>
  <si>
    <t>Ital</t>
  </si>
  <si>
    <t>Showbril</t>
  </si>
  <si>
    <t>Uselimp</t>
  </si>
  <si>
    <t>Work</t>
  </si>
  <si>
    <t>Dimavi</t>
  </si>
  <si>
    <t>Charme</t>
  </si>
  <si>
    <t>Alveflor</t>
  </si>
  <si>
    <t>Oeste</t>
  </si>
  <si>
    <t>Repete</t>
  </si>
  <si>
    <t>Mister Músculo</t>
  </si>
  <si>
    <t>VALOR TOTAL MENSAL</t>
  </si>
  <si>
    <t>Varrebras</t>
  </si>
  <si>
    <t>VALOR TOTAL MENSAL MATERIAIS DE LIMPEZA + HOSPITALAR</t>
  </si>
  <si>
    <t>VALOR TOTAL MENSAL MATERIAIS DE LIMPEZA + HOSPITALAR POR FUNCIONÁRIO</t>
  </si>
  <si>
    <t>Limpa- vidros</t>
  </si>
  <si>
    <t>VALOR TOTAL MENSAL PARA SERVENTE DE ESQUADRIA</t>
  </si>
  <si>
    <t>QUADRO RESUMO M²</t>
  </si>
  <si>
    <t>DD/MM/2021</t>
  </si>
  <si>
    <t>ENCARREGADO DE LIMPEZA</t>
  </si>
  <si>
    <t>SERVENTE</t>
  </si>
  <si>
    <t>Cláusula 3ª - CCT 2021 - DF 000038/2021 - SINDISERVIÇOS</t>
  </si>
  <si>
    <t>Cláusula 14ª - CCT 2021 - DF 000038/2021</t>
  </si>
  <si>
    <t>Cláusula 17ª - CCT 2021 - DF 000038/2021</t>
  </si>
  <si>
    <t>Cláusula 16ª - CCT 2021 - DF 000038/2021</t>
  </si>
  <si>
    <t>Cláusula 18ª - CCT 2021 - DF 000038/2021</t>
  </si>
  <si>
    <t>Substituto na cobertura de Ausências Legais por doença</t>
  </si>
  <si>
    <t>Incidência do submódulo 2.2 sobre o somatório do submódulo 2.1 e sobre as alíneas A, B, C, D e E do submódulo 4.1</t>
  </si>
  <si>
    <t>(CBO 4101)</t>
  </si>
  <si>
    <t> (CBO 5143-20) </t>
  </si>
  <si>
    <t>(CBO 5143-15)</t>
  </si>
  <si>
    <t>1/(30x885)</t>
  </si>
  <si>
    <t>1/(885)</t>
  </si>
  <si>
    <t>1/(30x2500)</t>
  </si>
  <si>
    <t>1/(2500)</t>
  </si>
  <si>
    <t>1/(30x690)</t>
  </si>
  <si>
    <t>1/(690)</t>
  </si>
  <si>
    <t>JUAZEIRO</t>
  </si>
  <si>
    <t>Álcool 70º gel 5 litros</t>
  </si>
  <si>
    <t>Álcool 70% gel</t>
  </si>
  <si>
    <t>Marca/Similar</t>
  </si>
  <si>
    <t>f) Todo material de segurança e proteção individual, quando da realização dos serviços.</t>
  </si>
  <si>
    <t>DF000038/2021 - SINDSERVIÇOS</t>
  </si>
  <si>
    <t>1/(30x360)</t>
  </si>
  <si>
    <t>1/(360)</t>
  </si>
  <si>
    <t>FERRAMENTAS PARA JARDINEIRO</t>
  </si>
  <si>
    <t>Pazinha Larga metálica com cabo de madeira -Tramontina ou similar</t>
  </si>
  <si>
    <t>IV. JARDINEIRO:</t>
  </si>
  <si>
    <t>f) 2 pares de luvas de borracha grossa tipo jardinagem</t>
  </si>
  <si>
    <t>f) 4 pares de luvas de borracha;</t>
  </si>
  <si>
    <t>h) 4 pares de luvas de couro</t>
  </si>
  <si>
    <t>Mão-de-Obra</t>
  </si>
  <si>
    <t>Jardinagem - Periodicidade mensal</t>
  </si>
  <si>
    <t>Jardineiro</t>
  </si>
  <si>
    <t>JARDINEIRO</t>
  </si>
  <si>
    <t> (CBO 6220-10) </t>
  </si>
  <si>
    <t xml:space="preserve">Rastelos metálicos </t>
  </si>
  <si>
    <t xml:space="preserve">Sacho coração </t>
  </si>
  <si>
    <t xml:space="preserve">Garfo para terra  </t>
  </si>
  <si>
    <t xml:space="preserve">Enxada cabo de madeira  </t>
  </si>
  <si>
    <t xml:space="preserve">Ancinho 3 dentes  </t>
  </si>
  <si>
    <t>Brilho Inox 400 ML</t>
  </si>
  <si>
    <t>Disco Polidor 410’</t>
  </si>
  <si>
    <t>Disco Removedor 410’</t>
  </si>
  <si>
    <t>PCT</t>
  </si>
  <si>
    <t>Lã de aço com 08 ud</t>
  </si>
  <si>
    <t xml:space="preserve">Lustra Móveis </t>
  </si>
  <si>
    <t xml:space="preserve">Sabão em pó </t>
  </si>
  <si>
    <t>Twister UHS</t>
  </si>
  <si>
    <t xml:space="preserve"> Escova de nylon</t>
  </si>
  <si>
    <t>Tesoura para cortar grama/cerca viva</t>
  </si>
  <si>
    <t>Cortador/aparador de grama elétrico de 1500 W com extensão de 90 metros</t>
  </si>
  <si>
    <t>Trapp - Master plus</t>
  </si>
  <si>
    <t>Brilhante</t>
  </si>
  <si>
    <t>IV. JARDINEIRO</t>
  </si>
  <si>
    <t>f) 4 pares Luvas de borracha;</t>
  </si>
  <si>
    <t>ud</t>
  </si>
  <si>
    <t>Pedra sanitária para vaso</t>
  </si>
  <si>
    <t>Pedra sanitária para vaso acoplado</t>
  </si>
  <si>
    <t xml:space="preserve">Vassoura limpa teto </t>
  </si>
  <si>
    <t>Esponja de fibra para limpa tudo Kit 10 ud</t>
  </si>
  <si>
    <t>Suporte Limpa tudo LT</t>
  </si>
  <si>
    <t>m³</t>
  </si>
  <si>
    <t>Valor Total R$ “A” x “B”/"C"</t>
  </si>
  <si>
    <t>Panos apropriados – Brancos  alvejados 70 x 100</t>
  </si>
  <si>
    <t>Saco para Lixo, reforçado, na cor azul, capacidade de 100 litros Pacote com 100 sacos</t>
  </si>
  <si>
    <t>Saco para Lixo, reforçado, na cor marrom, capacidade de 100 litros Pacote com 100 sacos</t>
  </si>
  <si>
    <t>Tela odorizante em borracha para mictório com duração da fragrância superior a 30 dias, biodegradável</t>
  </si>
  <si>
    <t>Adubo químico granulado 4.14.8 sacos de 50 Kg</t>
  </si>
  <si>
    <t>Adubo químico granulado 10.10.10 sacos de 50 Kg</t>
  </si>
  <si>
    <t>Calcário dolimítico em saco de 50 kg</t>
  </si>
  <si>
    <t>II. SERVENTES PARA ÁREA MÉDICA</t>
  </si>
  <si>
    <t xml:space="preserve">TOUCA DESCARTÁVEL - 01 UD POR DIA </t>
  </si>
  <si>
    <t>MÁSCARA DESCARTÁVEL - 03 UD POR DIA</t>
  </si>
  <si>
    <t>01 PAR BOTINA DE COURO BICO DE PLÁSTICO</t>
  </si>
  <si>
    <t>01 PAR DE BOTA DE BORRACHA</t>
  </si>
  <si>
    <t>CUSTO TOTAL PARA ENCARREGADO</t>
  </si>
  <si>
    <t>CUSTO TOTAL SERVENTE PARA ÁREA MÉDICA</t>
  </si>
  <si>
    <t>CUSTO TOTAL PARA JARDINEIRO</t>
  </si>
  <si>
    <t>CUSTO TOTAL PARA SERVENTE</t>
  </si>
  <si>
    <t>Facão para mato de 22 polegadas</t>
  </si>
  <si>
    <t>K&amp;F</t>
  </si>
  <si>
    <t>Dispenser para SABONETE LÍQUIDO/ALCOOL GEL, produzido em material plástico ABS, visor frontal, facilitando o abastecimento do produto, válvula de supervisor, proporcionando correta dosagem e impedindo vazamento para acondicionamento de refis.</t>
  </si>
  <si>
    <t>Dispenser para PAPEL HIGIÊNICO em rolo de até 600 metros, produzido em material plástico ABS.</t>
  </si>
  <si>
    <t>Dispenser para PAPEL TOALHA interfolha, produzido em material plástico ABS, com visor frontal, facilitando o abastecimento do produto.</t>
  </si>
  <si>
    <t>Borrifador plástico transparente 500 ml para alcool 70°</t>
  </si>
  <si>
    <t>Papel Toalha, cor branca, de primeira qualidade, interfolhado de 20x21cm, pacote com 1000 folhas. 100% Celulose fibras virgens. Adequado ao suporte a ser fornecido pela Contratada</t>
  </si>
  <si>
    <t>Pano de limpar chão - em saco de algodão alvejado, 70 x 50 cm</t>
  </si>
  <si>
    <t>Pares</t>
  </si>
  <si>
    <t>3M ou Scoth Brite</t>
  </si>
  <si>
    <t>Luva de borracha, tamanhos P, M e G</t>
  </si>
  <si>
    <t>Frequência "C"               Mensal -1;Trimestral -3</t>
  </si>
  <si>
    <t xml:space="preserve">Lima chata de 8 polegadas </t>
  </si>
  <si>
    <t>UNIFORMES SERVIÇOS DE LIMPEZA, CONSERVAÇÃO E HIGIENIZAÇÃO</t>
  </si>
  <si>
    <t xml:space="preserve">Lavadora de alta pressão - 1800 libras </t>
  </si>
  <si>
    <t>Aspirador de pó e água - 1300 W, 20 L</t>
  </si>
  <si>
    <t>V. SERVENTES:</t>
  </si>
  <si>
    <t>VI. SERVENTE DE ESQUADRIA</t>
  </si>
  <si>
    <t>i) 01 par de botina de couro com bico de plástico</t>
  </si>
  <si>
    <t>j) 01 par de bota de borracha</t>
  </si>
  <si>
    <t>j) 01 par de botina de couro com bico de plástico</t>
  </si>
  <si>
    <t>g)   01 par  de  bota de borracha</t>
  </si>
  <si>
    <t>i) 02 ud de óculos de proteção</t>
  </si>
  <si>
    <t>01 PAr BOTINA DE COURO BICO DE PLÁSTICO</t>
  </si>
  <si>
    <t>H) 02 ud de óculos de proteção</t>
  </si>
  <si>
    <t>CUSTO TOTAL PARA JAUZEIRO</t>
  </si>
  <si>
    <t>CUSTO TOTAL PARA SERVENTE DE ESQUADRIA</t>
  </si>
  <si>
    <t>e)  01  par  de  sapato ou tênis;</t>
  </si>
  <si>
    <t>Terra para cobertura (comum)</t>
  </si>
  <si>
    <t>DISCRIMINAÇÃO DOS EQUIPAMENTOS E FERRAMENTAS PARA ESQUADRIAS</t>
  </si>
  <si>
    <t>DISCRIMINAÇÃO DOS EQUIPAMENTOS, FERRAMENTAS PARA JARDINAGEM</t>
  </si>
  <si>
    <t>VALOR TOTAL DO SERVENTE DE ESQUADRIA</t>
  </si>
  <si>
    <t>Servente de esquadria</t>
  </si>
  <si>
    <t>Jardinagem</t>
  </si>
  <si>
    <t>Conteiner 240 litros com roda</t>
  </si>
  <si>
    <t>Container 1000 litros com roda</t>
  </si>
  <si>
    <t>Cleaner</t>
  </si>
  <si>
    <t>Enceradeira  industrial 380 mm</t>
  </si>
  <si>
    <t>Enceradeira industrial 410 mm</t>
  </si>
  <si>
    <t>Enceradeira industrial 510 mm</t>
  </si>
  <si>
    <t>g) 02 ud de óculos de proteção</t>
  </si>
  <si>
    <t>h) 02 ud de óculos de proteção</t>
  </si>
  <si>
    <t>Mangeueira trançada com bico e emendas para jardim 50 metros</t>
  </si>
  <si>
    <t>Jardim</t>
  </si>
  <si>
    <t>Produtividade grupo jardineiro (1/m2)               (a)</t>
  </si>
  <si>
    <t>i) 02 ud  de óculos de proteção</t>
  </si>
  <si>
    <t>h)   22  Toucas descartável</t>
  </si>
  <si>
    <t>J) 66 Máscara  descartável</t>
  </si>
  <si>
    <t xml:space="preserve">I) 66 Máscara descartável </t>
  </si>
  <si>
    <t>DISCRIMINAÇÃO DOS EQUIPAMENTOS FERRAMENTAS (LIMPEZA E CONSERVAÇÃO)</t>
  </si>
  <si>
    <t>Frequência no mês (trimestre) (horas                             (b)</t>
  </si>
  <si>
    <t>Jornada de Trabalho mês (trimestre) (horas)                   (c )</t>
  </si>
  <si>
    <t>Cálculo: {[0,0555x(1/12)]x100} = 0,42% - Art. 7º, XXI, CF/88, 477, 487 e ss. CLT e Nota Técnica CGAC/CISET nº 2/2018</t>
  </si>
  <si>
    <t>Multa do FGTS sobre o Aviso Prévio Indenizado</t>
  </si>
  <si>
    <t xml:space="preserve">Cálculo: [0,08*(0,40)*0,9]*(1+0,0833+0,09075+0,03025) = 4,35% - Item 14 - anexo VII, IN 05/2017 - MP - Art. 18, §1º da Lei 8.036/90 e Art 1º da Complementar nº 110/01 + Art. 12º da Lei 13.932/2019. </t>
  </si>
  <si>
    <t>Multa do FGTS sobre o Aviso Prévio Trabalhado</t>
  </si>
  <si>
    <t>Cálculo: 0,08 x 0,4] x [% Incidência dos Encargos do Submódulo 2.2] = 0,02 % - Lei nº 13.932, de 11 de dezembro de 2019</t>
  </si>
  <si>
    <t>Conforme pesquisa de preços seguindo a recomendação da SISET, emitida na Nota Técnica nº 2/2018/CGAC/CISET/SG-PR.</t>
  </si>
  <si>
    <r>
      <t xml:space="preserve">Constituição Federal de 1988 </t>
    </r>
    <r>
      <rPr>
        <sz val="32"/>
        <rFont val="Calibri"/>
        <family val="2"/>
        <scheme val="minor"/>
      </rPr>
      <t xml:space="preserve">(Art. 7º inciso XVII) e Nota Técnica CGAC/CISET nº 2/2018 </t>
    </r>
  </si>
  <si>
    <t>Servente Esquadria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</si>
</sst>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.00_ ;\-#,##0.00\ "/>
    <numFmt numFmtId="166" formatCode="#,##0_ ;\-#,##0\ "/>
    <numFmt numFmtId="167" formatCode="#,##0.0_ ;\-#,##0.0\ "/>
    <numFmt numFmtId="168" formatCode="#,##0.000000000_ ;\-#,##0.000000000\ "/>
    <numFmt numFmtId="169" formatCode="0.00\ &quot;m²&quot;"/>
    <numFmt numFmtId="170" formatCode="0.0000000"/>
    <numFmt numFmtId="171" formatCode="0.000%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sz val="9"/>
      <name val="Calibri"/>
      <family val="2"/>
      <scheme val="minor"/>
    </font>
    <font>
      <sz val="8"/>
      <name val="Calibri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6"/>
      <name val="Calibri"/>
      <family val="2"/>
      <scheme val="minor"/>
    </font>
    <font>
      <sz val="32"/>
      <name val="Calibri"/>
      <family val="2"/>
      <scheme val="minor"/>
    </font>
    <font>
      <sz val="10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1C1C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41" fontId="29" fillId="0" borderId="0" applyFont="0" applyFill="0" applyBorder="0" applyAlignment="0" applyProtection="0"/>
    <xf numFmtId="0" fontId="30" fillId="13" borderId="0" applyNumberFormat="0" applyBorder="0" applyAlignment="0" applyProtection="0"/>
  </cellStyleXfs>
  <cellXfs count="421">
    <xf numFmtId="0" fontId="0" fillId="0" borderId="0" xfId="0"/>
    <xf numFmtId="0" fontId="9" fillId="0" borderId="51" xfId="0" applyFont="1" applyFill="1" applyBorder="1" applyAlignment="1">
      <alignment horizontal="center" vertical="center" shrinkToFit="1"/>
    </xf>
    <xf numFmtId="0" fontId="9" fillId="0" borderId="31" xfId="0" applyFont="1" applyFill="1" applyBorder="1" applyAlignment="1">
      <alignment horizontal="center" vertical="center" shrinkToFit="1"/>
    </xf>
    <xf numFmtId="0" fontId="9" fillId="0" borderId="22" xfId="0" applyFont="1" applyFill="1" applyBorder="1" applyAlignment="1">
      <alignment horizontal="center" vertical="center" shrinkToFit="1"/>
    </xf>
    <xf numFmtId="164" fontId="9" fillId="0" borderId="23" xfId="1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164" fontId="9" fillId="0" borderId="4" xfId="1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9" xfId="1" applyNumberFormat="1" applyFont="1" applyFill="1" applyBorder="1" applyAlignment="1">
      <alignment horizontal="center" vertical="center" shrinkToFit="1"/>
    </xf>
    <xf numFmtId="0" fontId="9" fillId="0" borderId="24" xfId="0" applyFont="1" applyFill="1" applyBorder="1" applyAlignment="1">
      <alignment horizontal="center" vertical="center" shrinkToFit="1"/>
    </xf>
    <xf numFmtId="0" fontId="9" fillId="0" borderId="25" xfId="0" applyFont="1" applyFill="1" applyBorder="1" applyAlignment="1">
      <alignment horizontal="center" vertical="center" shrinkToFit="1"/>
    </xf>
    <xf numFmtId="164" fontId="9" fillId="0" borderId="28" xfId="1" applyFont="1" applyFill="1" applyBorder="1" applyAlignment="1">
      <alignment vertical="center" shrinkToFit="1"/>
    </xf>
    <xf numFmtId="164" fontId="9" fillId="0" borderId="30" xfId="1" applyFont="1" applyFill="1" applyBorder="1" applyAlignment="1">
      <alignment horizontal="center" vertical="center" shrinkToFit="1"/>
    </xf>
    <xf numFmtId="0" fontId="9" fillId="0" borderId="0" xfId="0" applyFont="1" applyFill="1"/>
    <xf numFmtId="164" fontId="8" fillId="0" borderId="17" xfId="1" applyFont="1" applyFill="1" applyBorder="1" applyAlignment="1">
      <alignment vertical="center" shrinkToFit="1"/>
    </xf>
    <xf numFmtId="0" fontId="9" fillId="0" borderId="37" xfId="0" applyFont="1" applyFill="1" applyBorder="1" applyAlignment="1">
      <alignment horizontal="center" vertical="center" shrinkToFit="1"/>
    </xf>
    <xf numFmtId="164" fontId="9" fillId="0" borderId="39" xfId="1" applyFont="1" applyFill="1" applyBorder="1" applyAlignment="1">
      <alignment vertical="center" shrinkToFit="1"/>
    </xf>
    <xf numFmtId="0" fontId="9" fillId="0" borderId="40" xfId="0" applyFont="1" applyFill="1" applyBorder="1" applyAlignment="1">
      <alignment horizontal="center" vertical="center" shrinkToFit="1"/>
    </xf>
    <xf numFmtId="9" fontId="9" fillId="0" borderId="41" xfId="0" applyNumberFormat="1" applyFont="1" applyFill="1" applyBorder="1" applyAlignment="1">
      <alignment horizontal="center" vertical="center" shrinkToFit="1"/>
    </xf>
    <xf numFmtId="164" fontId="9" fillId="0" borderId="42" xfId="1" applyFont="1" applyFill="1" applyBorder="1" applyAlignment="1">
      <alignment vertical="center" shrinkToFit="1"/>
    </xf>
    <xf numFmtId="10" fontId="9" fillId="0" borderId="41" xfId="0" applyNumberFormat="1" applyFont="1" applyFill="1" applyBorder="1" applyAlignment="1">
      <alignment horizontal="center" vertical="center" shrinkToFit="1"/>
    </xf>
    <xf numFmtId="0" fontId="9" fillId="0" borderId="43" xfId="0" applyFont="1" applyFill="1" applyBorder="1" applyAlignment="1">
      <alignment horizontal="center" vertical="center" shrinkToFit="1"/>
    </xf>
    <xf numFmtId="164" fontId="9" fillId="0" borderId="45" xfId="1" applyFont="1" applyFill="1" applyBorder="1" applyAlignment="1">
      <alignment vertical="center" shrinkToFit="1"/>
    </xf>
    <xf numFmtId="164" fontId="8" fillId="0" borderId="34" xfId="1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 shrinkToFit="1"/>
    </xf>
    <xf numFmtId="164" fontId="9" fillId="0" borderId="0" xfId="1" applyFont="1" applyFill="1" applyBorder="1" applyAlignment="1">
      <alignment vertical="center" shrinkToFit="1"/>
    </xf>
    <xf numFmtId="0" fontId="8" fillId="0" borderId="0" xfId="0" applyFont="1" applyFill="1" applyBorder="1" applyAlignment="1">
      <alignment horizontal="justify" vertical="center" shrinkToFit="1"/>
    </xf>
    <xf numFmtId="0" fontId="8" fillId="0" borderId="48" xfId="0" applyFont="1" applyFill="1" applyBorder="1" applyAlignment="1">
      <alignment horizontal="center" vertical="center" shrinkToFit="1"/>
    </xf>
    <xf numFmtId="0" fontId="8" fillId="0" borderId="49" xfId="0" applyFont="1" applyFill="1" applyBorder="1" applyAlignment="1">
      <alignment horizontal="left" vertical="center" shrinkToFit="1"/>
    </xf>
    <xf numFmtId="0" fontId="8" fillId="0" borderId="49" xfId="0" applyFont="1" applyFill="1" applyBorder="1" applyAlignment="1">
      <alignment horizontal="center" vertical="center" shrinkToFit="1"/>
    </xf>
    <xf numFmtId="164" fontId="8" fillId="0" borderId="50" xfId="1" applyFont="1" applyFill="1" applyBorder="1" applyAlignment="1">
      <alignment vertical="center" shrinkToFit="1"/>
    </xf>
    <xf numFmtId="0" fontId="9" fillId="0" borderId="38" xfId="0" applyFont="1" applyFill="1" applyBorder="1" applyAlignment="1">
      <alignment horizontal="left" vertical="center" shrinkToFit="1"/>
    </xf>
    <xf numFmtId="10" fontId="9" fillId="0" borderId="38" xfId="2" applyNumberFormat="1" applyFont="1" applyFill="1" applyBorder="1" applyAlignment="1" applyProtection="1">
      <alignment horizontal="center" vertical="center" shrinkToFit="1"/>
    </xf>
    <xf numFmtId="0" fontId="9" fillId="0" borderId="41" xfId="0" applyFont="1" applyFill="1" applyBorder="1" applyAlignment="1">
      <alignment horizontal="left" vertical="center" shrinkToFit="1"/>
    </xf>
    <xf numFmtId="10" fontId="9" fillId="0" borderId="41" xfId="2" applyNumberFormat="1" applyFont="1" applyFill="1" applyBorder="1" applyAlignment="1" applyProtection="1">
      <alignment horizontal="center" vertical="center" shrinkToFit="1"/>
    </xf>
    <xf numFmtId="0" fontId="9" fillId="0" borderId="44" xfId="0" applyFont="1" applyFill="1" applyBorder="1" applyAlignment="1">
      <alignment horizontal="left" vertical="center" shrinkToFit="1"/>
    </xf>
    <xf numFmtId="10" fontId="8" fillId="0" borderId="32" xfId="2" applyNumberFormat="1" applyFont="1" applyFill="1" applyBorder="1" applyAlignment="1" applyProtection="1">
      <alignment horizontal="center" vertical="center" shrinkToFit="1"/>
    </xf>
    <xf numFmtId="164" fontId="8" fillId="0" borderId="9" xfId="1" applyFont="1" applyFill="1" applyBorder="1" applyAlignment="1">
      <alignment vertical="center" shrinkToFit="1"/>
    </xf>
    <xf numFmtId="164" fontId="8" fillId="0" borderId="50" xfId="1" applyFont="1" applyFill="1" applyBorder="1" applyAlignment="1">
      <alignment horizontal="center" vertical="center" shrinkToFit="1"/>
    </xf>
    <xf numFmtId="164" fontId="9" fillId="0" borderId="30" xfId="1" applyFont="1" applyFill="1" applyBorder="1" applyAlignment="1">
      <alignment vertical="center" shrinkToFit="1"/>
    </xf>
    <xf numFmtId="0" fontId="9" fillId="0" borderId="53" xfId="0" applyFont="1" applyFill="1" applyBorder="1" applyAlignment="1">
      <alignment horizontal="justify" vertical="center" shrinkToFit="1"/>
    </xf>
    <xf numFmtId="0" fontId="9" fillId="0" borderId="29" xfId="0" applyFont="1" applyFill="1" applyBorder="1" applyAlignment="1">
      <alignment horizontal="center" vertical="center" shrinkToFit="1"/>
    </xf>
    <xf numFmtId="0" fontId="9" fillId="0" borderId="53" xfId="0" applyFont="1" applyFill="1" applyBorder="1" applyAlignment="1">
      <alignment horizontal="left" vertical="center" shrinkToFit="1"/>
    </xf>
    <xf numFmtId="0" fontId="9" fillId="0" borderId="54" xfId="0" applyFont="1" applyFill="1" applyBorder="1" applyAlignment="1">
      <alignment horizontal="center" vertical="center" shrinkToFit="1"/>
    </xf>
    <xf numFmtId="0" fontId="9" fillId="0" borderId="55" xfId="0" applyFont="1" applyFill="1" applyBorder="1" applyAlignment="1">
      <alignment horizontal="left" vertical="center" shrinkToFit="1"/>
    </xf>
    <xf numFmtId="0" fontId="9" fillId="0" borderId="21" xfId="0" applyFont="1" applyFill="1" applyBorder="1" applyAlignment="1">
      <alignment horizontal="center" vertical="center" shrinkToFit="1"/>
    </xf>
    <xf numFmtId="164" fontId="9" fillId="0" borderId="52" xfId="1" applyFont="1" applyFill="1" applyBorder="1" applyAlignment="1">
      <alignment vertical="center" shrinkToFit="1"/>
    </xf>
    <xf numFmtId="164" fontId="8" fillId="0" borderId="14" xfId="1" applyFont="1" applyFill="1" applyBorder="1" applyAlignment="1">
      <alignment vertical="center" shrinkToFit="1"/>
    </xf>
    <xf numFmtId="0" fontId="9" fillId="0" borderId="5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164" fontId="9" fillId="0" borderId="0" xfId="1" applyFont="1" applyFill="1" applyBorder="1"/>
    <xf numFmtId="0" fontId="8" fillId="0" borderId="14" xfId="0" applyFont="1" applyFill="1" applyBorder="1" applyAlignment="1">
      <alignment horizontal="center" vertical="center" wrapText="1"/>
    </xf>
    <xf numFmtId="164" fontId="8" fillId="0" borderId="17" xfId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64" fontId="9" fillId="0" borderId="20" xfId="1" applyFont="1" applyFill="1" applyBorder="1" applyAlignment="1">
      <alignment horizontal="center" vertical="center" wrapText="1"/>
    </xf>
    <xf numFmtId="164" fontId="8" fillId="0" borderId="20" xfId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justify" vertical="center" wrapText="1"/>
    </xf>
    <xf numFmtId="10" fontId="9" fillId="0" borderId="14" xfId="2" applyNumberFormat="1" applyFont="1" applyFill="1" applyBorder="1" applyAlignment="1">
      <alignment horizontal="center" vertical="center" shrinkToFit="1"/>
    </xf>
    <xf numFmtId="10" fontId="8" fillId="0" borderId="15" xfId="2" applyNumberFormat="1" applyFont="1" applyFill="1" applyBorder="1" applyAlignment="1">
      <alignment horizontal="center" vertical="center" shrinkToFit="1"/>
    </xf>
    <xf numFmtId="164" fontId="8" fillId="0" borderId="14" xfId="1" applyFont="1" applyFill="1" applyBorder="1" applyAlignment="1">
      <alignment horizontal="center" vertical="center" wrapText="1"/>
    </xf>
    <xf numFmtId="10" fontId="9" fillId="0" borderId="20" xfId="2" applyNumberFormat="1" applyFont="1" applyFill="1" applyBorder="1" applyAlignment="1">
      <alignment horizontal="center" vertical="center" wrapText="1"/>
    </xf>
    <xf numFmtId="43" fontId="9" fillId="0" borderId="20" xfId="0" applyNumberFormat="1" applyFont="1" applyFill="1" applyBorder="1" applyAlignment="1">
      <alignment horizontal="justify" vertical="center" wrapText="1"/>
    </xf>
    <xf numFmtId="10" fontId="8" fillId="0" borderId="14" xfId="2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9" fontId="9" fillId="0" borderId="20" xfId="2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64" fontId="9" fillId="0" borderId="14" xfId="1" applyFont="1" applyFill="1" applyBorder="1" applyAlignment="1">
      <alignment horizontal="center" vertical="center" wrapText="1"/>
    </xf>
    <xf numFmtId="164" fontId="8" fillId="0" borderId="15" xfId="1" applyFont="1" applyFill="1" applyBorder="1" applyAlignment="1">
      <alignment horizontal="center" vertical="center" wrapText="1"/>
    </xf>
    <xf numFmtId="164" fontId="9" fillId="0" borderId="28" xfId="1" applyFont="1" applyFill="1" applyBorder="1" applyAlignment="1">
      <alignment vertical="center" wrapText="1" shrinkToFit="1"/>
    </xf>
    <xf numFmtId="164" fontId="9" fillId="0" borderId="20" xfId="1" applyFont="1" applyFill="1" applyBorder="1" applyAlignment="1">
      <alignment horizontal="left" vertical="center" wrapText="1"/>
    </xf>
    <xf numFmtId="49" fontId="9" fillId="0" borderId="28" xfId="1" applyNumberFormat="1" applyFont="1" applyFill="1" applyBorder="1" applyAlignment="1">
      <alignment vertical="center" wrapText="1" shrinkToFit="1"/>
    </xf>
    <xf numFmtId="9" fontId="9" fillId="0" borderId="20" xfId="2" applyNumberFormat="1" applyFont="1" applyFill="1" applyBorder="1" applyAlignment="1">
      <alignment horizontal="center" vertical="center" wrapText="1"/>
    </xf>
    <xf numFmtId="49" fontId="9" fillId="0" borderId="20" xfId="1" applyNumberFormat="1" applyFont="1" applyFill="1" applyBorder="1" applyAlignment="1">
      <alignment horizontal="left" vertical="center" wrapText="1"/>
    </xf>
    <xf numFmtId="164" fontId="9" fillId="0" borderId="39" xfId="1" applyFont="1" applyFill="1" applyBorder="1" applyAlignment="1">
      <alignment vertical="center" wrapText="1" shrinkToFit="1"/>
    </xf>
    <xf numFmtId="0" fontId="11" fillId="0" borderId="0" xfId="0" applyFont="1" applyFill="1" applyBorder="1" applyAlignment="1">
      <alignment horizontal="left" vertical="center" shrinkToFit="1"/>
    </xf>
    <xf numFmtId="164" fontId="8" fillId="0" borderId="0" xfId="1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9" fillId="0" borderId="58" xfId="0" applyFont="1" applyFill="1" applyBorder="1" applyAlignment="1">
      <alignment horizontal="center" vertical="center" shrinkToFit="1"/>
    </xf>
    <xf numFmtId="0" fontId="9" fillId="0" borderId="59" xfId="0" applyFont="1" applyFill="1" applyBorder="1" applyAlignment="1">
      <alignment horizontal="justify" vertical="center" shrinkToFit="1"/>
    </xf>
    <xf numFmtId="10" fontId="8" fillId="0" borderId="62" xfId="0" applyNumberFormat="1" applyFont="1" applyFill="1" applyBorder="1" applyAlignment="1">
      <alignment horizontal="center" vertical="center" shrinkToFit="1"/>
    </xf>
    <xf numFmtId="0" fontId="9" fillId="0" borderId="44" xfId="0" applyFont="1" applyFill="1" applyBorder="1" applyAlignment="1">
      <alignment horizontal="left" vertical="center" wrapText="1"/>
    </xf>
    <xf numFmtId="10" fontId="9" fillId="0" borderId="44" xfId="2" applyNumberFormat="1" applyFont="1" applyFill="1" applyBorder="1" applyAlignment="1" applyProtection="1">
      <alignment horizontal="center" vertical="center" shrinkToFit="1"/>
    </xf>
    <xf numFmtId="0" fontId="14" fillId="0" borderId="0" xfId="0" applyFont="1" applyFill="1" applyBorder="1" applyAlignment="1">
      <alignment horizontal="justify" vertical="center" shrinkToFit="1"/>
    </xf>
    <xf numFmtId="10" fontId="14" fillId="0" borderId="0" xfId="2" applyNumberFormat="1" applyFont="1" applyFill="1" applyBorder="1" applyAlignment="1" applyProtection="1">
      <alignment horizontal="center" vertical="center" shrinkToFit="1"/>
    </xf>
    <xf numFmtId="164" fontId="14" fillId="0" borderId="0" xfId="1" applyFont="1" applyFill="1" applyBorder="1" applyAlignment="1">
      <alignment vertical="center" shrinkToFit="1"/>
    </xf>
    <xf numFmtId="0" fontId="13" fillId="0" borderId="0" xfId="0" applyFont="1" applyFill="1"/>
    <xf numFmtId="0" fontId="9" fillId="0" borderId="63" xfId="0" applyFont="1" applyFill="1" applyBorder="1" applyAlignment="1">
      <alignment horizontal="left" vertical="center" wrapText="1" shrinkToFit="1"/>
    </xf>
    <xf numFmtId="0" fontId="9" fillId="0" borderId="64" xfId="0" applyFont="1" applyFill="1" applyBorder="1" applyAlignment="1">
      <alignment horizontal="left" vertical="center" shrinkToFit="1"/>
    </xf>
    <xf numFmtId="10" fontId="9" fillId="0" borderId="64" xfId="2" applyNumberFormat="1" applyFont="1" applyFill="1" applyBorder="1" applyAlignment="1" applyProtection="1">
      <alignment horizontal="center" vertical="center" shrinkToFit="1"/>
    </xf>
    <xf numFmtId="164" fontId="9" fillId="0" borderId="65" xfId="1" applyFont="1" applyFill="1" applyBorder="1" applyAlignment="1">
      <alignment vertical="center" shrinkToFit="1"/>
    </xf>
    <xf numFmtId="0" fontId="9" fillId="0" borderId="19" xfId="0" applyFont="1" applyFill="1" applyBorder="1" applyAlignment="1">
      <alignment horizontal="center" vertical="center" shrinkToFit="1"/>
    </xf>
    <xf numFmtId="10" fontId="9" fillId="0" borderId="10" xfId="2" applyNumberFormat="1" applyFont="1" applyFill="1" applyBorder="1" applyAlignment="1" applyProtection="1">
      <alignment horizontal="center" vertical="center" shrinkToFit="1"/>
    </xf>
    <xf numFmtId="164" fontId="9" fillId="0" borderId="66" xfId="1" applyFont="1" applyFill="1" applyBorder="1" applyAlignment="1">
      <alignment vertical="center" shrinkToFit="1"/>
    </xf>
    <xf numFmtId="0" fontId="9" fillId="3" borderId="0" xfId="0" applyFont="1" applyFill="1"/>
    <xf numFmtId="43" fontId="9" fillId="0" borderId="0" xfId="0" applyNumberFormat="1" applyFont="1" applyFill="1"/>
    <xf numFmtId="10" fontId="9" fillId="3" borderId="41" xfId="2" applyNumberFormat="1" applyFont="1" applyFill="1" applyBorder="1" applyAlignment="1" applyProtection="1">
      <alignment horizontal="center" vertical="center" shrinkToFit="1"/>
    </xf>
    <xf numFmtId="164" fontId="4" fillId="3" borderId="1" xfId="1" applyFont="1" applyFill="1" applyBorder="1"/>
    <xf numFmtId="0" fontId="9" fillId="0" borderId="0" xfId="0" applyFont="1"/>
    <xf numFmtId="0" fontId="16" fillId="0" borderId="0" xfId="0" applyFont="1"/>
    <xf numFmtId="0" fontId="18" fillId="3" borderId="1" xfId="0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/>
    <xf numFmtId="44" fontId="16" fillId="3" borderId="1" xfId="0" applyNumberFormat="1" applyFont="1" applyFill="1" applyBorder="1"/>
    <xf numFmtId="0" fontId="4" fillId="0" borderId="0" xfId="0" applyFont="1"/>
    <xf numFmtId="44" fontId="9" fillId="0" borderId="0" xfId="0" applyNumberFormat="1" applyFont="1"/>
    <xf numFmtId="0" fontId="9" fillId="0" borderId="0" xfId="0" applyFont="1" applyAlignment="1">
      <alignment horizontal="center"/>
    </xf>
    <xf numFmtId="0" fontId="22" fillId="0" borderId="0" xfId="0" applyFont="1"/>
    <xf numFmtId="44" fontId="22" fillId="2" borderId="1" xfId="0" applyNumberFormat="1" applyFont="1" applyFill="1" applyBorder="1"/>
    <xf numFmtId="44" fontId="22" fillId="2" borderId="67" xfId="0" applyNumberFormat="1" applyFont="1" applyFill="1" applyBorder="1"/>
    <xf numFmtId="0" fontId="22" fillId="0" borderId="0" xfId="0" applyFont="1" applyAlignment="1">
      <alignment horizontal="center"/>
    </xf>
    <xf numFmtId="0" fontId="22" fillId="3" borderId="0" xfId="0" applyFont="1" applyFill="1" applyAlignment="1">
      <alignment horizontal="center"/>
    </xf>
    <xf numFmtId="0" fontId="22" fillId="3" borderId="0" xfId="0" applyFont="1" applyFill="1"/>
    <xf numFmtId="4" fontId="5" fillId="0" borderId="0" xfId="0" applyNumberFormat="1" applyFont="1"/>
    <xf numFmtId="164" fontId="9" fillId="0" borderId="4" xfId="1" applyFont="1" applyFill="1" applyBorder="1" applyAlignment="1">
      <alignment horizontal="center" vertical="center" wrapText="1" shrinkToFit="1"/>
    </xf>
    <xf numFmtId="0" fontId="9" fillId="0" borderId="57" xfId="0" applyFont="1" applyFill="1" applyBorder="1" applyAlignment="1">
      <alignment horizontal="justify" vertical="center" shrinkToFit="1"/>
    </xf>
    <xf numFmtId="14" fontId="9" fillId="0" borderId="34" xfId="1" applyNumberFormat="1" applyFont="1" applyFill="1" applyBorder="1" applyAlignment="1">
      <alignment horizontal="center" vertical="center" shrinkToFit="1"/>
    </xf>
    <xf numFmtId="0" fontId="5" fillId="0" borderId="0" xfId="0" applyFont="1"/>
    <xf numFmtId="164" fontId="9" fillId="0" borderId="52" xfId="1" applyFont="1" applyFill="1" applyBorder="1" applyAlignment="1">
      <alignment horizontal="center" vertical="center" shrinkToFit="1"/>
    </xf>
    <xf numFmtId="14" fontId="9" fillId="0" borderId="77" xfId="1" applyNumberFormat="1" applyFont="1" applyFill="1" applyBorder="1" applyAlignment="1">
      <alignment horizontal="center" vertical="center" shrinkToFit="1"/>
    </xf>
    <xf numFmtId="0" fontId="9" fillId="0" borderId="78" xfId="0" applyFont="1" applyFill="1" applyBorder="1" applyAlignment="1">
      <alignment horizontal="center" vertical="center" shrinkToFit="1"/>
    </xf>
    <xf numFmtId="0" fontId="9" fillId="0" borderId="46" xfId="0" applyFont="1" applyFill="1" applyBorder="1" applyAlignment="1">
      <alignment horizontal="center" vertical="center" shrinkToFit="1"/>
    </xf>
    <xf numFmtId="0" fontId="9" fillId="0" borderId="78" xfId="0" applyFont="1" applyFill="1" applyBorder="1" applyAlignment="1">
      <alignment horizontal="justify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24" fillId="0" borderId="0" xfId="0" applyFont="1"/>
    <xf numFmtId="0" fontId="4" fillId="3" borderId="0" xfId="0" applyFont="1" applyFill="1"/>
    <xf numFmtId="0" fontId="22" fillId="0" borderId="0" xfId="0" applyFont="1" applyAlignment="1"/>
    <xf numFmtId="0" fontId="21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4" fontId="26" fillId="3" borderId="0" xfId="0" applyNumberFormat="1" applyFont="1" applyFill="1" applyBorder="1" applyAlignment="1">
      <alignment horizontal="center" vertical="center"/>
    </xf>
    <xf numFmtId="44" fontId="26" fillId="3" borderId="0" xfId="0" applyNumberFormat="1" applyFont="1" applyFill="1" applyBorder="1" applyAlignment="1">
      <alignment vertical="center"/>
    </xf>
    <xf numFmtId="168" fontId="22" fillId="0" borderId="1" xfId="4" applyNumberFormat="1" applyFont="1" applyBorder="1"/>
    <xf numFmtId="4" fontId="26" fillId="3" borderId="0" xfId="1" applyNumberFormat="1" applyFont="1" applyFill="1" applyBorder="1" applyAlignment="1">
      <alignment horizontal="center" vertical="center"/>
    </xf>
    <xf numFmtId="0" fontId="23" fillId="3" borderId="0" xfId="0" applyFont="1" applyFill="1" applyAlignment="1">
      <alignment wrapText="1"/>
    </xf>
    <xf numFmtId="0" fontId="18" fillId="7" borderId="1" xfId="0" applyFont="1" applyFill="1" applyBorder="1" applyAlignment="1">
      <alignment horizontal="center" vertical="center" wrapText="1"/>
    </xf>
    <xf numFmtId="44" fontId="4" fillId="0" borderId="3" xfId="0" applyNumberFormat="1" applyFont="1" applyFill="1" applyBorder="1" applyAlignment="1"/>
    <xf numFmtId="43" fontId="4" fillId="0" borderId="1" xfId="4" applyFont="1" applyFill="1" applyBorder="1" applyAlignment="1">
      <alignment horizontal="center" vertical="center"/>
    </xf>
    <xf numFmtId="2" fontId="4" fillId="0" borderId="1" xfId="4" applyNumberFormat="1" applyFont="1" applyFill="1" applyBorder="1" applyAlignment="1">
      <alignment horizontal="center" vertical="center"/>
    </xf>
    <xf numFmtId="2" fontId="4" fillId="3" borderId="1" xfId="4" applyNumberFormat="1" applyFont="1" applyFill="1" applyBorder="1" applyAlignment="1">
      <alignment horizontal="center" vertical="center"/>
    </xf>
    <xf numFmtId="165" fontId="4" fillId="3" borderId="1" xfId="4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4" applyNumberFormat="1" applyFont="1" applyFill="1" applyBorder="1" applyAlignment="1">
      <alignment horizontal="center" vertical="center"/>
    </xf>
    <xf numFmtId="166" fontId="16" fillId="3" borderId="1" xfId="0" applyNumberFormat="1" applyFont="1" applyFill="1" applyBorder="1" applyAlignment="1">
      <alignment horizontal="center" vertical="center"/>
    </xf>
    <xf numFmtId="43" fontId="4" fillId="0" borderId="0" xfId="0" applyNumberFormat="1" applyFont="1"/>
    <xf numFmtId="0" fontId="9" fillId="0" borderId="1" xfId="0" applyFont="1" applyBorder="1" applyAlignment="1">
      <alignment horizontal="center"/>
    </xf>
    <xf numFmtId="10" fontId="9" fillId="0" borderId="0" xfId="0" applyNumberFormat="1" applyFont="1" applyAlignment="1">
      <alignment horizontal="center"/>
    </xf>
    <xf numFmtId="44" fontId="25" fillId="3" borderId="1" xfId="0" applyNumberFormat="1" applyFont="1" applyFill="1" applyBorder="1"/>
    <xf numFmtId="0" fontId="22" fillId="0" borderId="8" xfId="0" applyFont="1" applyBorder="1" applyAlignment="1">
      <alignment horizontal="center"/>
    </xf>
    <xf numFmtId="0" fontId="22" fillId="0" borderId="8" xfId="0" applyFont="1" applyBorder="1"/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11" borderId="0" xfId="0" applyFont="1" applyFill="1"/>
    <xf numFmtId="44" fontId="22" fillId="2" borderId="3" xfId="0" applyNumberFormat="1" applyFont="1" applyFill="1" applyBorder="1"/>
    <xf numFmtId="44" fontId="22" fillId="0" borderId="0" xfId="0" applyNumberFormat="1" applyFont="1"/>
    <xf numFmtId="44" fontId="3" fillId="0" borderId="1" xfId="0" applyNumberFormat="1" applyFont="1" applyBorder="1" applyAlignment="1"/>
    <xf numFmtId="4" fontId="27" fillId="0" borderId="1" xfId="0" applyNumberFormat="1" applyFont="1" applyBorder="1" applyAlignment="1">
      <alignment horizontal="right" vertical="center"/>
    </xf>
    <xf numFmtId="44" fontId="4" fillId="0" borderId="1" xfId="0" applyNumberFormat="1" applyFont="1" applyBorder="1"/>
    <xf numFmtId="4" fontId="28" fillId="0" borderId="0" xfId="0" applyNumberFormat="1" applyFont="1"/>
    <xf numFmtId="4" fontId="22" fillId="0" borderId="0" xfId="0" applyNumberFormat="1" applyFont="1"/>
    <xf numFmtId="0" fontId="9" fillId="0" borderId="0" xfId="0" quotePrefix="1" applyFont="1"/>
    <xf numFmtId="0" fontId="9" fillId="0" borderId="0" xfId="0" applyFont="1" applyAlignment="1">
      <alignment horizontal="center" vertical="center"/>
    </xf>
    <xf numFmtId="0" fontId="18" fillId="7" borderId="1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textRotation="90" wrapText="1"/>
    </xf>
    <xf numFmtId="0" fontId="22" fillId="6" borderId="67" xfId="0" applyFont="1" applyFill="1" applyBorder="1" applyAlignment="1">
      <alignment vertical="center" wrapText="1"/>
    </xf>
    <xf numFmtId="43" fontId="4" fillId="3" borderId="0" xfId="0" applyNumberFormat="1" applyFont="1" applyFill="1"/>
    <xf numFmtId="166" fontId="2" fillId="0" borderId="1" xfId="1" applyNumberFormat="1" applyFont="1" applyFill="1" applyBorder="1" applyAlignment="1">
      <alignment horizontal="center" vertical="center"/>
    </xf>
    <xf numFmtId="4" fontId="27" fillId="3" borderId="1" xfId="0" applyNumberFormat="1" applyFont="1" applyFill="1" applyBorder="1" applyAlignment="1">
      <alignment horizontal="right" vertical="center"/>
    </xf>
    <xf numFmtId="0" fontId="25" fillId="3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left" vertical="center" wrapText="1" indent="2"/>
    </xf>
    <xf numFmtId="0" fontId="8" fillId="10" borderId="1" xfId="0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9" fontId="9" fillId="0" borderId="0" xfId="0" applyNumberFormat="1" applyFont="1" applyAlignment="1">
      <alignment horizontal="center" vertical="center"/>
    </xf>
    <xf numFmtId="164" fontId="25" fillId="3" borderId="1" xfId="1" applyFont="1" applyFill="1" applyBorder="1" applyAlignment="1">
      <alignment vertical="center" wrapText="1"/>
    </xf>
    <xf numFmtId="164" fontId="22" fillId="3" borderId="1" xfId="1" applyFont="1" applyFill="1" applyBorder="1" applyAlignment="1">
      <alignment vertical="center" wrapText="1"/>
    </xf>
    <xf numFmtId="44" fontId="25" fillId="3" borderId="1" xfId="0" applyNumberFormat="1" applyFont="1" applyFill="1" applyBorder="1" applyAlignment="1">
      <alignment vertical="center" wrapText="1"/>
    </xf>
    <xf numFmtId="0" fontId="8" fillId="3" borderId="0" xfId="0" applyFont="1" applyFill="1"/>
    <xf numFmtId="164" fontId="22" fillId="0" borderId="0" xfId="1" applyFont="1" applyAlignment="1">
      <alignment horizontal="center"/>
    </xf>
    <xf numFmtId="164" fontId="22" fillId="0" borderId="0" xfId="1" applyFont="1"/>
    <xf numFmtId="0" fontId="25" fillId="10" borderId="1" xfId="0" applyFont="1" applyFill="1" applyBorder="1" applyAlignment="1">
      <alignment horizontal="center" vertical="center" wrapText="1"/>
    </xf>
    <xf numFmtId="164" fontId="25" fillId="0" borderId="1" xfId="1" applyFont="1" applyBorder="1" applyAlignment="1">
      <alignment horizontal="center"/>
    </xf>
    <xf numFmtId="164" fontId="25" fillId="0" borderId="1" xfId="1" applyFont="1" applyBorder="1"/>
    <xf numFmtId="9" fontId="9" fillId="3" borderId="0" xfId="0" applyNumberFormat="1" applyFont="1" applyFill="1" applyAlignment="1">
      <alignment horizontal="center"/>
    </xf>
    <xf numFmtId="164" fontId="22" fillId="0" borderId="1" xfId="1" applyFont="1" applyBorder="1"/>
    <xf numFmtId="164" fontId="22" fillId="0" borderId="0" xfId="1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22" fillId="0" borderId="1" xfId="1" applyFont="1" applyBorder="1" applyAlignment="1">
      <alignment vertical="center" wrapText="1"/>
    </xf>
    <xf numFmtId="9" fontId="9" fillId="0" borderId="0" xfId="0" applyNumberFormat="1" applyFont="1" applyAlignment="1">
      <alignment horizontal="center"/>
    </xf>
    <xf numFmtId="0" fontId="8" fillId="0" borderId="0" xfId="0" applyFont="1"/>
    <xf numFmtId="0" fontId="25" fillId="2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vertical="center" wrapText="1"/>
    </xf>
    <xf numFmtId="0" fontId="22" fillId="5" borderId="1" xfId="0" applyFont="1" applyFill="1" applyBorder="1" applyAlignment="1">
      <alignment vertical="center" wrapText="1"/>
    </xf>
    <xf numFmtId="0" fontId="22" fillId="6" borderId="1" xfId="0" applyFont="1" applyFill="1" applyBorder="1" applyAlignment="1">
      <alignment vertical="center" wrapText="1"/>
    </xf>
    <xf numFmtId="164" fontId="22" fillId="3" borderId="1" xfId="1" applyFont="1" applyFill="1" applyBorder="1" applyAlignment="1">
      <alignment vertical="center"/>
    </xf>
    <xf numFmtId="0" fontId="22" fillId="4" borderId="1" xfId="0" applyFont="1" applyFill="1" applyBorder="1" applyAlignment="1">
      <alignment horizontal="justify" vertical="center" wrapText="1"/>
    </xf>
    <xf numFmtId="164" fontId="22" fillId="3" borderId="1" xfId="1" applyFont="1" applyFill="1" applyBorder="1" applyAlignment="1">
      <alignment horizontal="justify" vertical="center" wrapText="1"/>
    </xf>
    <xf numFmtId="0" fontId="22" fillId="4" borderId="67" xfId="0" applyFont="1" applyFill="1" applyBorder="1" applyAlignment="1">
      <alignment vertical="center" wrapText="1"/>
    </xf>
    <xf numFmtId="164" fontId="22" fillId="3" borderId="67" xfId="1" applyFont="1" applyFill="1" applyBorder="1" applyAlignment="1">
      <alignment vertical="center" wrapText="1"/>
    </xf>
    <xf numFmtId="0" fontId="22" fillId="5" borderId="67" xfId="0" applyFont="1" applyFill="1" applyBorder="1" applyAlignment="1">
      <alignment vertical="center" wrapText="1"/>
    </xf>
    <xf numFmtId="0" fontId="22" fillId="5" borderId="1" xfId="0" applyFont="1" applyFill="1" applyBorder="1" applyAlignment="1">
      <alignment horizontal="justify" vertical="center" wrapText="1"/>
    </xf>
    <xf numFmtId="0" fontId="22" fillId="13" borderId="0" xfId="6" applyFont="1" applyAlignment="1">
      <alignment horizontal="left" vertical="center"/>
    </xf>
    <xf numFmtId="164" fontId="22" fillId="0" borderId="1" xfId="1" applyFont="1" applyBorder="1" applyAlignment="1">
      <alignment horizontal="justify" vertical="center" wrapText="1"/>
    </xf>
    <xf numFmtId="164" fontId="22" fillId="0" borderId="2" xfId="1" applyFont="1" applyBorder="1" applyAlignment="1">
      <alignment horizontal="justify" vertical="center" wrapText="1"/>
    </xf>
    <xf numFmtId="164" fontId="22" fillId="0" borderId="2" xfId="1" applyFont="1" applyBorder="1" applyAlignment="1">
      <alignment vertical="center" wrapText="1"/>
    </xf>
    <xf numFmtId="0" fontId="22" fillId="13" borderId="1" xfId="6" applyFont="1" applyBorder="1" applyAlignment="1">
      <alignment horizontal="left" vertical="center"/>
    </xf>
    <xf numFmtId="164" fontId="22" fillId="3" borderId="2" xfId="1" applyFont="1" applyFill="1" applyBorder="1" applyAlignment="1">
      <alignment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Alignment="1">
      <alignment horizontal="center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 indent="2"/>
    </xf>
    <xf numFmtId="41" fontId="22" fillId="3" borderId="1" xfId="5" applyFont="1" applyFill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11" borderId="72" xfId="0" applyFont="1" applyFill="1" applyBorder="1" applyAlignment="1">
      <alignment vertical="center" wrapText="1"/>
    </xf>
    <xf numFmtId="0" fontId="8" fillId="11" borderId="0" xfId="0" applyFont="1" applyFill="1" applyBorder="1" applyAlignment="1">
      <alignment vertical="center" wrapText="1"/>
    </xf>
    <xf numFmtId="0" fontId="8" fillId="11" borderId="73" xfId="0" applyFont="1" applyFill="1" applyBorder="1" applyAlignment="1">
      <alignment vertical="center" wrapText="1"/>
    </xf>
    <xf numFmtId="0" fontId="8" fillId="12" borderId="1" xfId="0" applyFont="1" applyFill="1" applyBorder="1" applyAlignment="1">
      <alignment horizontal="center" vertical="center" wrapText="1"/>
    </xf>
    <xf numFmtId="41" fontId="22" fillId="0" borderId="1" xfId="5" applyFont="1" applyBorder="1" applyAlignment="1">
      <alignment vertical="center" wrapText="1"/>
    </xf>
    <xf numFmtId="44" fontId="1" fillId="0" borderId="1" xfId="0" applyNumberFormat="1" applyFont="1" applyBorder="1"/>
    <xf numFmtId="0" fontId="33" fillId="3" borderId="0" xfId="0" applyFont="1" applyFill="1" applyAlignment="1"/>
    <xf numFmtId="0" fontId="22" fillId="9" borderId="6" xfId="0" applyFont="1" applyFill="1" applyBorder="1"/>
    <xf numFmtId="0" fontId="22" fillId="9" borderId="1" xfId="0" applyFont="1" applyFill="1" applyBorder="1"/>
    <xf numFmtId="0" fontId="22" fillId="9" borderId="1" xfId="0" applyFont="1" applyFill="1" applyBorder="1" applyAlignment="1">
      <alignment horizontal="center" wrapText="1"/>
    </xf>
    <xf numFmtId="0" fontId="25" fillId="9" borderId="4" xfId="0" applyFont="1" applyFill="1" applyBorder="1"/>
    <xf numFmtId="0" fontId="22" fillId="0" borderId="6" xfId="0" applyFont="1" applyBorder="1"/>
    <xf numFmtId="0" fontId="22" fillId="0" borderId="1" xfId="0" applyFont="1" applyBorder="1" applyAlignment="1">
      <alignment horizontal="center"/>
    </xf>
    <xf numFmtId="164" fontId="22" fillId="0" borderId="4" xfId="1" applyFont="1" applyBorder="1"/>
    <xf numFmtId="168" fontId="22" fillId="0" borderId="0" xfId="4" applyNumberFormat="1" applyFont="1"/>
    <xf numFmtId="0" fontId="22" fillId="0" borderId="7" xfId="0" applyFont="1" applyBorder="1"/>
    <xf numFmtId="164" fontId="22" fillId="0" borderId="8" xfId="1" applyFont="1" applyBorder="1"/>
    <xf numFmtId="164" fontId="22" fillId="0" borderId="9" xfId="1" applyFont="1" applyBorder="1"/>
    <xf numFmtId="44" fontId="25" fillId="3" borderId="81" xfId="0" applyNumberFormat="1" applyFont="1" applyFill="1" applyBorder="1"/>
    <xf numFmtId="0" fontId="25" fillId="7" borderId="1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 wrapText="1"/>
    </xf>
    <xf numFmtId="169" fontId="22" fillId="8" borderId="0" xfId="0" applyNumberFormat="1" applyFont="1" applyFill="1" applyAlignment="1">
      <alignment horizontal="center" vertical="center"/>
    </xf>
    <xf numFmtId="0" fontId="22" fillId="0" borderId="67" xfId="0" applyFont="1" applyFill="1" applyBorder="1"/>
    <xf numFmtId="0" fontId="22" fillId="3" borderId="67" xfId="0" applyFont="1" applyFill="1" applyBorder="1" applyAlignment="1">
      <alignment horizontal="center" vertical="center"/>
    </xf>
    <xf numFmtId="0" fontId="22" fillId="0" borderId="67" xfId="0" applyFont="1" applyFill="1" applyBorder="1" applyAlignment="1">
      <alignment horizontal="center"/>
    </xf>
    <xf numFmtId="170" fontId="22" fillId="0" borderId="1" xfId="0" applyNumberFormat="1" applyFont="1" applyFill="1" applyBorder="1" applyAlignment="1">
      <alignment horizontal="center"/>
    </xf>
    <xf numFmtId="44" fontId="22" fillId="0" borderId="67" xfId="0" applyNumberFormat="1" applyFont="1" applyFill="1" applyBorder="1"/>
    <xf numFmtId="44" fontId="22" fillId="0" borderId="1" xfId="1" applyNumberFormat="1" applyFont="1" applyFill="1" applyBorder="1"/>
    <xf numFmtId="0" fontId="22" fillId="8" borderId="0" xfId="0" applyFont="1" applyFill="1"/>
    <xf numFmtId="170" fontId="22" fillId="0" borderId="0" xfId="0" applyNumberFormat="1" applyFont="1" applyFill="1" applyAlignment="1">
      <alignment horizontal="center"/>
    </xf>
    <xf numFmtId="44" fontId="22" fillId="8" borderId="0" xfId="0" applyNumberFormat="1" applyFont="1" applyFill="1"/>
    <xf numFmtId="44" fontId="25" fillId="0" borderId="70" xfId="0" applyNumberFormat="1" applyFont="1" applyBorder="1" applyAlignment="1"/>
    <xf numFmtId="164" fontId="25" fillId="3" borderId="71" xfId="1" applyFont="1" applyFill="1" applyBorder="1"/>
    <xf numFmtId="0" fontId="25" fillId="0" borderId="56" xfId="0" applyFont="1" applyBorder="1" applyAlignment="1">
      <alignment horizontal="center"/>
    </xf>
    <xf numFmtId="164" fontId="25" fillId="3" borderId="56" xfId="1" applyFont="1" applyFill="1" applyBorder="1"/>
    <xf numFmtId="169" fontId="22" fillId="0" borderId="0" xfId="0" applyNumberFormat="1" applyFont="1" applyAlignment="1">
      <alignment horizontal="center" vertical="center"/>
    </xf>
    <xf numFmtId="0" fontId="25" fillId="0" borderId="56" xfId="0" applyFont="1" applyBorder="1" applyAlignment="1">
      <alignment wrapText="1"/>
    </xf>
    <xf numFmtId="0" fontId="25" fillId="0" borderId="0" xfId="0" applyFont="1" applyBorder="1" applyAlignment="1">
      <alignment wrapText="1"/>
    </xf>
    <xf numFmtId="2" fontId="22" fillId="3" borderId="1" xfId="4" applyNumberFormat="1" applyFont="1" applyFill="1" applyBorder="1" applyAlignment="1">
      <alignment horizontal="center" vertical="center"/>
    </xf>
    <xf numFmtId="165" fontId="22" fillId="3" borderId="1" xfId="4" applyNumberFormat="1" applyFont="1" applyFill="1" applyBorder="1" applyAlignment="1">
      <alignment horizontal="center" vertical="center"/>
    </xf>
    <xf numFmtId="166" fontId="22" fillId="3" borderId="1" xfId="4" applyNumberFormat="1" applyFont="1" applyFill="1" applyBorder="1" applyAlignment="1">
      <alignment horizontal="center" vertical="center"/>
    </xf>
    <xf numFmtId="167" fontId="22" fillId="3" borderId="1" xfId="4" applyNumberFormat="1" applyFont="1" applyFill="1" applyBorder="1" applyAlignment="1">
      <alignment horizontal="center" vertical="center"/>
    </xf>
    <xf numFmtId="166" fontId="22" fillId="3" borderId="1" xfId="1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44" fontId="22" fillId="3" borderId="3" xfId="0" applyNumberFormat="1" applyFont="1" applyFill="1" applyBorder="1" applyAlignment="1"/>
    <xf numFmtId="43" fontId="22" fillId="3" borderId="1" xfId="4" applyFont="1" applyFill="1" applyBorder="1" applyAlignment="1">
      <alignment horizontal="center" vertical="center"/>
    </xf>
    <xf numFmtId="10" fontId="9" fillId="3" borderId="20" xfId="2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justify" vertical="center" wrapText="1"/>
    </xf>
    <xf numFmtId="0" fontId="8" fillId="0" borderId="16" xfId="0" applyFont="1" applyBorder="1" applyAlignment="1">
      <alignment horizontal="center" vertical="center" wrapText="1"/>
    </xf>
    <xf numFmtId="44" fontId="25" fillId="3" borderId="1" xfId="0" applyNumberFormat="1" applyFont="1" applyFill="1" applyBorder="1" applyAlignment="1">
      <alignment vertical="center"/>
    </xf>
    <xf numFmtId="44" fontId="25" fillId="2" borderId="3" xfId="0" applyNumberFormat="1" applyFont="1" applyFill="1" applyBorder="1" applyAlignment="1">
      <alignment vertical="center"/>
    </xf>
    <xf numFmtId="44" fontId="25" fillId="4" borderId="1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justify" vertical="center" shrinkToFit="1"/>
    </xf>
    <xf numFmtId="0" fontId="8" fillId="0" borderId="16" xfId="0" applyFont="1" applyFill="1" applyBorder="1" applyAlignment="1">
      <alignment horizontal="center" vertical="center" shrinkToFit="1"/>
    </xf>
    <xf numFmtId="0" fontId="9" fillId="0" borderId="21" xfId="0" applyFont="1" applyFill="1" applyBorder="1" applyAlignment="1">
      <alignment horizontal="justify" vertical="center" shrinkToFit="1"/>
    </xf>
    <xf numFmtId="0" fontId="13" fillId="0" borderId="0" xfId="0" applyFont="1"/>
    <xf numFmtId="10" fontId="9" fillId="3" borderId="14" xfId="2" applyNumberFormat="1" applyFont="1" applyFill="1" applyBorder="1" applyAlignment="1">
      <alignment horizontal="center" vertical="center" shrinkToFit="1"/>
    </xf>
    <xf numFmtId="171" fontId="9" fillId="0" borderId="20" xfId="2" applyNumberFormat="1" applyFont="1" applyFill="1" applyBorder="1" applyAlignment="1">
      <alignment horizontal="center" vertical="center" wrapText="1"/>
    </xf>
    <xf numFmtId="164" fontId="9" fillId="3" borderId="28" xfId="1" applyFont="1" applyFill="1" applyBorder="1" applyAlignment="1">
      <alignment vertical="center" shrinkToFit="1"/>
    </xf>
    <xf numFmtId="0" fontId="8" fillId="14" borderId="1" xfId="0" applyFont="1" applyFill="1" applyBorder="1" applyAlignment="1">
      <alignment horizontal="center" vertical="center" wrapText="1"/>
    </xf>
    <xf numFmtId="171" fontId="9" fillId="0" borderId="0" xfId="0" applyNumberFormat="1" applyFont="1" applyFill="1"/>
    <xf numFmtId="0" fontId="35" fillId="0" borderId="0" xfId="0" applyFont="1" applyFill="1"/>
    <xf numFmtId="0" fontId="16" fillId="3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textRotation="90" wrapText="1"/>
    </xf>
    <xf numFmtId="0" fontId="25" fillId="3" borderId="1" xfId="0" applyFont="1" applyFill="1" applyBorder="1" applyAlignment="1">
      <alignment horizontal="center"/>
    </xf>
    <xf numFmtId="0" fontId="25" fillId="0" borderId="16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0" fontId="25" fillId="0" borderId="74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3" borderId="11" xfId="0" applyFont="1" applyFill="1" applyBorder="1" applyAlignment="1">
      <alignment horizontal="center"/>
    </xf>
    <xf numFmtId="0" fontId="25" fillId="3" borderId="56" xfId="0" applyFont="1" applyFill="1" applyBorder="1" applyAlignment="1">
      <alignment horizontal="center"/>
    </xf>
    <xf numFmtId="0" fontId="25" fillId="3" borderId="12" xfId="0" applyFont="1" applyFill="1" applyBorder="1" applyAlignment="1">
      <alignment horizontal="center"/>
    </xf>
    <xf numFmtId="0" fontId="25" fillId="0" borderId="80" xfId="0" applyFont="1" applyBorder="1" applyAlignment="1">
      <alignment horizontal="center"/>
    </xf>
    <xf numFmtId="0" fontId="25" fillId="0" borderId="75" xfId="0" applyFont="1" applyBorder="1" applyAlignment="1">
      <alignment horizontal="center"/>
    </xf>
    <xf numFmtId="0" fontId="33" fillId="3" borderId="0" xfId="0" applyFont="1" applyFill="1" applyAlignment="1">
      <alignment horizontal="center"/>
    </xf>
    <xf numFmtId="0" fontId="25" fillId="3" borderId="82" xfId="0" applyFont="1" applyFill="1" applyBorder="1" applyAlignment="1">
      <alignment horizontal="center"/>
    </xf>
    <xf numFmtId="0" fontId="25" fillId="3" borderId="60" xfId="0" applyFont="1" applyFill="1" applyBorder="1" applyAlignment="1">
      <alignment horizontal="center"/>
    </xf>
    <xf numFmtId="0" fontId="25" fillId="3" borderId="61" xfId="0" applyFont="1" applyFill="1" applyBorder="1" applyAlignment="1">
      <alignment horizontal="center"/>
    </xf>
    <xf numFmtId="0" fontId="21" fillId="0" borderId="0" xfId="0" applyFont="1" applyAlignment="1">
      <alignment horizontal="justify" vertical="center" wrapText="1"/>
    </xf>
    <xf numFmtId="166" fontId="16" fillId="7" borderId="1" xfId="0" applyNumberFormat="1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0" fontId="23" fillId="3" borderId="0" xfId="0" applyFont="1" applyFill="1" applyAlignment="1">
      <alignment horizontal="center" wrapText="1"/>
    </xf>
    <xf numFmtId="0" fontId="20" fillId="7" borderId="0" xfId="0" applyFont="1" applyFill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9" fillId="0" borderId="67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67" xfId="0" applyFont="1" applyBorder="1" applyAlignment="1">
      <alignment horizontal="center" vertical="center" textRotation="90" wrapText="1"/>
    </xf>
    <xf numFmtId="0" fontId="19" fillId="0" borderId="69" xfId="0" applyFont="1" applyBorder="1" applyAlignment="1">
      <alignment horizontal="center" vertical="center" textRotation="90" wrapText="1"/>
    </xf>
    <xf numFmtId="0" fontId="19" fillId="0" borderId="13" xfId="0" applyFont="1" applyBorder="1" applyAlignment="1">
      <alignment horizontal="center" vertical="center" textRotation="90" wrapText="1"/>
    </xf>
    <xf numFmtId="0" fontId="16" fillId="3" borderId="3" xfId="0" applyFont="1" applyFill="1" applyBorder="1" applyAlignment="1">
      <alignment horizontal="center"/>
    </xf>
    <xf numFmtId="0" fontId="16" fillId="3" borderId="68" xfId="0" applyFont="1" applyFill="1" applyBorder="1" applyAlignment="1">
      <alignment horizontal="center"/>
    </xf>
    <xf numFmtId="0" fontId="18" fillId="7" borderId="68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9" fillId="0" borderId="16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justify" vertical="justify" wrapText="1"/>
    </xf>
    <xf numFmtId="0" fontId="8" fillId="0" borderId="46" xfId="0" applyFont="1" applyFill="1" applyBorder="1" applyAlignment="1">
      <alignment horizontal="justify" vertical="center" shrinkToFit="1"/>
    </xf>
    <xf numFmtId="0" fontId="8" fillId="0" borderId="33" xfId="0" applyFont="1" applyFill="1" applyBorder="1" applyAlignment="1">
      <alignment horizontal="justify" vertical="center" shrinkToFit="1"/>
    </xf>
    <xf numFmtId="0" fontId="8" fillId="0" borderId="3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justify" vertical="center" shrinkToFit="1"/>
    </xf>
    <xf numFmtId="0" fontId="9" fillId="0" borderId="38" xfId="0" applyFont="1" applyFill="1" applyBorder="1" applyAlignment="1">
      <alignment horizontal="justify" vertical="center" shrinkToFit="1"/>
    </xf>
    <xf numFmtId="0" fontId="12" fillId="0" borderId="56" xfId="0" applyFont="1" applyBorder="1" applyAlignment="1">
      <alignment horizontal="justify" vertical="justify" wrapText="1"/>
    </xf>
    <xf numFmtId="0" fontId="9" fillId="0" borderId="41" xfId="0" applyFont="1" applyFill="1" applyBorder="1" applyAlignment="1">
      <alignment horizontal="justify" vertical="center" shrinkToFit="1"/>
    </xf>
    <xf numFmtId="0" fontId="9" fillId="0" borderId="44" xfId="0" applyFont="1" applyFill="1" applyBorder="1" applyAlignment="1">
      <alignment horizontal="justify" vertical="center" shrinkToFit="1"/>
    </xf>
    <xf numFmtId="0" fontId="8" fillId="0" borderId="47" xfId="0" applyFont="1" applyFill="1" applyBorder="1" applyAlignment="1">
      <alignment horizontal="justify" vertical="center" shrinkToFit="1"/>
    </xf>
    <xf numFmtId="0" fontId="9" fillId="0" borderId="26" xfId="0" applyFont="1" applyFill="1" applyBorder="1" applyAlignment="1">
      <alignment horizontal="justify" vertical="center" shrinkToFit="1"/>
    </xf>
    <xf numFmtId="0" fontId="9" fillId="0" borderId="29" xfId="0" applyFont="1" applyFill="1" applyBorder="1" applyAlignment="1">
      <alignment horizontal="justify" vertical="center" shrinkToFit="1"/>
    </xf>
    <xf numFmtId="0" fontId="9" fillId="0" borderId="32" xfId="0" applyFont="1" applyFill="1" applyBorder="1" applyAlignment="1">
      <alignment horizontal="justify" vertical="center" shrinkToFit="1"/>
    </xf>
    <xf numFmtId="0" fontId="9" fillId="0" borderId="33" xfId="0" applyFont="1" applyFill="1" applyBorder="1" applyAlignment="1">
      <alignment horizontal="justify" vertical="center" shrinkToFit="1"/>
    </xf>
    <xf numFmtId="0" fontId="8" fillId="0" borderId="1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56" xfId="3" applyFont="1" applyFill="1" applyBorder="1" applyAlignment="1">
      <alignment horizontal="left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shrinkToFit="1"/>
    </xf>
    <xf numFmtId="0" fontId="8" fillId="0" borderId="35" xfId="0" applyFont="1" applyFill="1" applyBorder="1" applyAlignment="1">
      <alignment horizontal="justify" vertical="center" shrinkToFit="1"/>
    </xf>
    <xf numFmtId="0" fontId="8" fillId="0" borderId="36" xfId="0" applyFont="1" applyFill="1" applyBorder="1" applyAlignment="1">
      <alignment horizontal="justify" vertical="center" shrinkToFit="1"/>
    </xf>
    <xf numFmtId="0" fontId="8" fillId="0" borderId="16" xfId="0" applyFont="1" applyFill="1" applyBorder="1" applyAlignment="1">
      <alignment horizontal="left" vertical="center" shrinkToFit="1"/>
    </xf>
    <xf numFmtId="0" fontId="8" fillId="0" borderId="18" xfId="0" applyFont="1" applyFill="1" applyBorder="1" applyAlignment="1">
      <alignment horizontal="left" vertical="center" shrinkToFit="1"/>
    </xf>
    <xf numFmtId="0" fontId="8" fillId="0" borderId="60" xfId="0" applyFont="1" applyFill="1" applyBorder="1" applyAlignment="1">
      <alignment horizontal="center" vertical="center" wrapText="1" shrinkToFit="1"/>
    </xf>
    <xf numFmtId="0" fontId="8" fillId="0" borderId="61" xfId="0" applyFont="1" applyFill="1" applyBorder="1" applyAlignment="1">
      <alignment horizontal="center" vertical="center" wrapText="1" shrinkToFi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shrinkToFit="1"/>
    </xf>
    <xf numFmtId="0" fontId="8" fillId="0" borderId="18" xfId="0" applyFont="1" applyFill="1" applyBorder="1" applyAlignment="1">
      <alignment horizontal="center" vertical="center" shrinkToFit="1"/>
    </xf>
    <xf numFmtId="0" fontId="9" fillId="0" borderId="13" xfId="0" applyFont="1" applyFill="1" applyBorder="1" applyAlignment="1">
      <alignment horizontal="left" vertical="center" shrinkToFit="1"/>
    </xf>
    <xf numFmtId="0" fontId="9" fillId="0" borderId="1" xfId="0" applyFont="1" applyFill="1" applyBorder="1" applyAlignment="1">
      <alignment horizontal="left" vertical="center" shrinkToFit="1"/>
    </xf>
    <xf numFmtId="0" fontId="9" fillId="0" borderId="3" xfId="0" applyFont="1" applyFill="1" applyBorder="1" applyAlignment="1">
      <alignment horizontal="justify" vertical="center" wrapText="1" shrinkToFit="1"/>
    </xf>
    <xf numFmtId="0" fontId="9" fillId="0" borderId="2" xfId="0" applyFont="1" applyFill="1" applyBorder="1" applyAlignment="1">
      <alignment horizontal="justify" vertical="center" wrapText="1" shrinkToFi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12" fillId="0" borderId="56" xfId="0" applyFont="1" applyBorder="1" applyAlignment="1">
      <alignment horizontal="left" vertical="center" wrapText="1"/>
    </xf>
    <xf numFmtId="0" fontId="8" fillId="0" borderId="16" xfId="0" applyFont="1" applyFill="1" applyBorder="1" applyAlignment="1">
      <alignment horizontal="justify" vertical="center" shrinkToFit="1"/>
    </xf>
    <xf numFmtId="0" fontId="8" fillId="0" borderId="18" xfId="0" applyFont="1" applyFill="1" applyBorder="1" applyAlignment="1">
      <alignment horizontal="justify" vertical="center" shrinkToFit="1"/>
    </xf>
    <xf numFmtId="0" fontId="8" fillId="0" borderId="1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justify" vertical="center" shrinkToFit="1"/>
    </xf>
    <xf numFmtId="0" fontId="9" fillId="0" borderId="76" xfId="0" applyFont="1" applyFill="1" applyBorder="1" applyAlignment="1">
      <alignment horizontal="justify" vertical="center" shrinkToFit="1"/>
    </xf>
    <xf numFmtId="0" fontId="9" fillId="0" borderId="40" xfId="0" applyFont="1" applyFill="1" applyBorder="1" applyAlignment="1">
      <alignment horizontal="justify" vertical="center" shrinkToFit="1"/>
    </xf>
    <xf numFmtId="0" fontId="9" fillId="0" borderId="43" xfId="0" applyFont="1" applyFill="1" applyBorder="1" applyAlignment="1">
      <alignment horizontal="justify" vertical="center" shrinkToFit="1"/>
    </xf>
    <xf numFmtId="0" fontId="9" fillId="0" borderId="21" xfId="0" applyFont="1" applyFill="1" applyBorder="1" applyAlignment="1">
      <alignment horizontal="justify" vertical="center" shrinkToFit="1"/>
    </xf>
    <xf numFmtId="0" fontId="9" fillId="0" borderId="79" xfId="0" applyFont="1" applyFill="1" applyBorder="1" applyAlignment="1">
      <alignment horizontal="left" vertical="center" shrinkToFit="1"/>
    </xf>
    <xf numFmtId="0" fontId="9" fillId="0" borderId="2" xfId="0" applyFont="1" applyFill="1" applyBorder="1" applyAlignment="1">
      <alignment horizontal="left" vertical="center" shrinkToFit="1"/>
    </xf>
    <xf numFmtId="0" fontId="8" fillId="0" borderId="16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/>
    </xf>
    <xf numFmtId="0" fontId="25" fillId="10" borderId="3" xfId="0" applyFont="1" applyFill="1" applyBorder="1" applyAlignment="1">
      <alignment horizontal="center" vertical="center" wrapText="1"/>
    </xf>
    <xf numFmtId="0" fontId="25" fillId="10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25" fillId="0" borderId="1" xfId="0" applyFont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8" fillId="11" borderId="72" xfId="0" applyFont="1" applyFill="1" applyBorder="1" applyAlignment="1">
      <alignment horizontal="center" vertical="center" wrapText="1"/>
    </xf>
    <xf numFmtId="0" fontId="8" fillId="11" borderId="0" xfId="0" applyFont="1" applyFill="1" applyBorder="1" applyAlignment="1">
      <alignment horizontal="center" vertical="center" wrapText="1"/>
    </xf>
    <xf numFmtId="0" fontId="8" fillId="11" borderId="7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7">
    <cellStyle name="Bom" xfId="6" builtinId="26"/>
    <cellStyle name="Hiperlink" xfId="3" builtinId="8"/>
    <cellStyle name="Moeda" xfId="1" builtinId="4"/>
    <cellStyle name="Normal" xfId="0" builtinId="0"/>
    <cellStyle name="Porcentagem" xfId="2" builtinId="5"/>
    <cellStyle name="Separador de milhares [0]" xfId="5" builtinId="6"/>
    <cellStyle name="Vírgula" xfId="4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sromrodrigues/AppData/Local/Microsoft/Windows/INetCache/Content.Outlook/D78GB95X/Real_JG_CTO19_2016_Planilha_Depreciacao_2020-(SEI-207029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"/>
      <sheetName val="1 - Encarregado"/>
      <sheetName val="2 - Servente"/>
      <sheetName val="JAUZEIRO"/>
      <sheetName val="2.1 - Servente Esq."/>
      <sheetName val="3 - Servente Insalubre"/>
      <sheetName val="4 - Jauzeiro"/>
      <sheetName val="Complemento CCT-2020-Repac"/>
      <sheetName val="Complemento CCT-2020-Repac (VT)"/>
      <sheetName val="Quadro Resumo m²"/>
      <sheetName val="CDO"/>
      <sheetName val="Complemento"/>
      <sheetName val="Complemento 2017"/>
      <sheetName val="Complemento 2017 (2)"/>
      <sheetName val="Complem. 2018-Reajuste 2017"/>
      <sheetName val="Complem Redução custos fixos"/>
      <sheetName val="Complemento CCT-2018"/>
      <sheetName val="Complemento CCT-2018 (2)"/>
      <sheetName val="Complemento Reajuste 2018 "/>
      <sheetName val="Complemento depreciação 2018"/>
      <sheetName val="Complemento CCT2019 (2)"/>
      <sheetName val="Complemento Reajuste 2019"/>
      <sheetName val="Complemento Depreciação - RF 19"/>
      <sheetName val="Complemento Depreciação - RF 20"/>
      <sheetName val="Quadro Efetivo"/>
      <sheetName val="Equipamentos"/>
      <sheetName val="Uniformes"/>
      <sheetName val="Materiais"/>
      <sheetName val="Memorial de Custos Indiretos"/>
      <sheetName val="Equipamento Produtividade"/>
    </sheetNames>
    <sheetDataSet>
      <sheetData sheetId="0"/>
      <sheetData sheetId="1">
        <row r="126">
          <cell r="C126">
            <v>5659.6922505868843</v>
          </cell>
        </row>
      </sheetData>
      <sheetData sheetId="2">
        <row r="113">
          <cell r="F113">
            <v>39.767049712816167</v>
          </cell>
        </row>
        <row r="114">
          <cell r="E114">
            <v>772.31106506586934</v>
          </cell>
        </row>
      </sheetData>
      <sheetData sheetId="3"/>
      <sheetData sheetId="4">
        <row r="127">
          <cell r="C127">
            <v>3548.7682941174671</v>
          </cell>
        </row>
      </sheetData>
      <sheetData sheetId="5">
        <row r="127">
          <cell r="C127">
            <v>4274.6650656473075</v>
          </cell>
        </row>
      </sheetData>
      <sheetData sheetId="6">
        <row r="126">
          <cell r="C126">
            <v>4666.281202627456</v>
          </cell>
        </row>
      </sheetData>
      <sheetData sheetId="7"/>
      <sheetData sheetId="8"/>
      <sheetData sheetId="9">
        <row r="6">
          <cell r="C6" t="str">
            <v>Área Interna</v>
          </cell>
        </row>
        <row r="7">
          <cell r="C7" t="str">
            <v>Área Externa</v>
          </cell>
        </row>
        <row r="8">
          <cell r="C8" t="str">
            <v>Posto Atendimento Médico Odontológico</v>
          </cell>
        </row>
        <row r="9">
          <cell r="C9" t="str">
            <v>Banheiros</v>
          </cell>
        </row>
        <row r="10">
          <cell r="C10" t="str">
            <v>Vidros Externos / Face Interna</v>
          </cell>
        </row>
        <row r="11">
          <cell r="C11" t="str">
            <v>Vidros Externos / Face Externa</v>
          </cell>
        </row>
        <row r="12">
          <cell r="C12" t="str">
            <v>Esquadrias</v>
          </cell>
          <cell r="E12">
            <v>3251.56</v>
          </cell>
        </row>
      </sheetData>
      <sheetData sheetId="10"/>
      <sheetData sheetId="11">
        <row r="30">
          <cell r="H30">
            <v>308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showGridLines="0" tabSelected="1" topLeftCell="A4" workbookViewId="0">
      <selection activeCell="G24" sqref="G24"/>
    </sheetView>
  </sheetViews>
  <sheetFormatPr defaultRowHeight="12.75" x14ac:dyDescent="0.2"/>
  <cols>
    <col min="1" max="1" width="9.28515625" style="100" bestFit="1" customWidth="1"/>
    <col min="2" max="2" width="15.7109375" style="100" customWidth="1"/>
    <col min="3" max="3" width="40.140625" style="100" bestFit="1" customWidth="1"/>
    <col min="4" max="4" width="14.140625" style="100" customWidth="1"/>
    <col min="5" max="5" width="14" style="100" customWidth="1"/>
    <col min="6" max="6" width="17.5703125" style="100" customWidth="1"/>
    <col min="7" max="7" width="14.28515625" style="100" bestFit="1" customWidth="1"/>
    <col min="8" max="8" width="11.7109375" style="100" bestFit="1" customWidth="1"/>
    <col min="9" max="16384" width="9.140625" style="100"/>
  </cols>
  <sheetData>
    <row r="2" spans="1:6" x14ac:dyDescent="0.2">
      <c r="A2" s="298"/>
      <c r="B2" s="298"/>
      <c r="C2" s="298"/>
      <c r="D2" s="298"/>
      <c r="E2" s="298"/>
      <c r="F2" s="298"/>
    </row>
    <row r="3" spans="1:6" x14ac:dyDescent="0.2">
      <c r="A3" s="298"/>
      <c r="B3" s="298"/>
      <c r="C3" s="298"/>
      <c r="D3" s="298"/>
      <c r="E3" s="298"/>
      <c r="F3" s="298"/>
    </row>
    <row r="5" spans="1:6" ht="12.75" customHeight="1" x14ac:dyDescent="0.2"/>
    <row r="6" spans="1:6" ht="13.5" customHeight="1" x14ac:dyDescent="0.2">
      <c r="A6" s="297" t="s">
        <v>374</v>
      </c>
      <c r="B6" s="297"/>
      <c r="C6" s="297"/>
      <c r="D6" s="297"/>
      <c r="E6" s="297"/>
      <c r="F6" s="297"/>
    </row>
    <row r="7" spans="1:6" ht="15" x14ac:dyDescent="0.25">
      <c r="A7" s="101"/>
      <c r="B7" s="101"/>
      <c r="C7" s="101"/>
      <c r="D7" s="101"/>
      <c r="E7" s="101"/>
      <c r="F7" s="101"/>
    </row>
    <row r="8" spans="1:6" ht="38.25" x14ac:dyDescent="0.2">
      <c r="A8" s="299" t="s">
        <v>174</v>
      </c>
      <c r="B8" s="299"/>
      <c r="C8" s="102" t="s">
        <v>273</v>
      </c>
      <c r="D8" s="102" t="s">
        <v>286</v>
      </c>
      <c r="E8" s="102" t="s">
        <v>274</v>
      </c>
      <c r="F8" s="102" t="s">
        <v>287</v>
      </c>
    </row>
    <row r="9" spans="1:6" ht="15" x14ac:dyDescent="0.25">
      <c r="A9" s="300">
        <v>1</v>
      </c>
      <c r="B9" s="301" t="s">
        <v>282</v>
      </c>
      <c r="C9" s="156" t="s">
        <v>288</v>
      </c>
      <c r="D9" s="103">
        <f>'Mensal Unitário por m²'!E8</f>
        <v>5.77</v>
      </c>
      <c r="E9" s="157">
        <v>59453.599999999999</v>
      </c>
      <c r="F9" s="99">
        <f t="shared" ref="F9:F16" si="0">D9*E9</f>
        <v>343047.27</v>
      </c>
    </row>
    <row r="10" spans="1:6" ht="15" x14ac:dyDescent="0.25">
      <c r="A10" s="300"/>
      <c r="B10" s="301"/>
      <c r="C10" s="103" t="s">
        <v>289</v>
      </c>
      <c r="D10" s="103">
        <f>'Mensal Unitário por m²'!E14</f>
        <v>2.0499999999999998</v>
      </c>
      <c r="E10" s="157">
        <v>19671.11</v>
      </c>
      <c r="F10" s="99">
        <f t="shared" si="0"/>
        <v>40325.78</v>
      </c>
    </row>
    <row r="11" spans="1:6" ht="15" x14ac:dyDescent="0.25">
      <c r="A11" s="300"/>
      <c r="B11" s="301"/>
      <c r="C11" s="103" t="s">
        <v>290</v>
      </c>
      <c r="D11" s="103">
        <f>'Mensal Unitário por m²'!E20</f>
        <v>15.86</v>
      </c>
      <c r="E11" s="157">
        <v>1006.96</v>
      </c>
      <c r="F11" s="99">
        <f t="shared" si="0"/>
        <v>15970.39</v>
      </c>
    </row>
    <row r="12" spans="1:6" ht="15" x14ac:dyDescent="0.25">
      <c r="A12" s="300"/>
      <c r="B12" s="301"/>
      <c r="C12" s="103" t="s">
        <v>291</v>
      </c>
      <c r="D12" s="103">
        <f>'Mensal Unitário por m²'!E26</f>
        <v>7.41</v>
      </c>
      <c r="E12" s="157">
        <v>2638</v>
      </c>
      <c r="F12" s="99">
        <f t="shared" si="0"/>
        <v>19547.580000000002</v>
      </c>
    </row>
    <row r="13" spans="1:6" ht="15" x14ac:dyDescent="0.25">
      <c r="A13" s="300"/>
      <c r="B13" s="301"/>
      <c r="C13" s="158" t="s">
        <v>292</v>
      </c>
      <c r="D13" s="103">
        <f>'Mensal Unitário por m²'!G32</f>
        <v>2.13</v>
      </c>
      <c r="E13" s="157">
        <v>13548.3</v>
      </c>
      <c r="F13" s="99">
        <f t="shared" si="0"/>
        <v>28857.88</v>
      </c>
    </row>
    <row r="14" spans="1:6" ht="15" x14ac:dyDescent="0.25">
      <c r="A14" s="300"/>
      <c r="B14" s="301"/>
      <c r="C14" s="158" t="s">
        <v>293</v>
      </c>
      <c r="D14" s="103">
        <f>'Mensal Unitário por m²'!G38</f>
        <v>0.82</v>
      </c>
      <c r="E14" s="157">
        <v>10850.95</v>
      </c>
      <c r="F14" s="99">
        <f t="shared" si="0"/>
        <v>8897.7800000000007</v>
      </c>
    </row>
    <row r="15" spans="1:6" ht="15" x14ac:dyDescent="0.25">
      <c r="A15" s="300"/>
      <c r="B15" s="301"/>
      <c r="C15" s="158" t="s">
        <v>294</v>
      </c>
      <c r="D15" s="103">
        <f>'Mensal Unitário por m²'!G45</f>
        <v>0.85</v>
      </c>
      <c r="E15" s="157">
        <v>3251.56</v>
      </c>
      <c r="F15" s="99">
        <f t="shared" ref="F15" si="1">D15*E15</f>
        <v>2763.83</v>
      </c>
    </row>
    <row r="16" spans="1:6" ht="15" x14ac:dyDescent="0.25">
      <c r="A16" s="300"/>
      <c r="B16" s="301"/>
      <c r="C16" s="232" t="s">
        <v>500</v>
      </c>
      <c r="D16" s="103">
        <f>'Mensal Unitário por m²'!G53</f>
        <v>0.2</v>
      </c>
      <c r="E16" s="169">
        <v>6783</v>
      </c>
      <c r="F16" s="99">
        <f t="shared" si="0"/>
        <v>1356.6</v>
      </c>
    </row>
    <row r="17" spans="1:8" ht="15" x14ac:dyDescent="0.25">
      <c r="A17" s="296" t="s">
        <v>295</v>
      </c>
      <c r="B17" s="296"/>
      <c r="C17" s="296"/>
      <c r="D17" s="296"/>
      <c r="E17" s="296"/>
      <c r="F17" s="104">
        <f>SUM(F9:F16)</f>
        <v>460767.11</v>
      </c>
      <c r="G17" s="106"/>
      <c r="H17" s="159"/>
    </row>
    <row r="18" spans="1:8" ht="15" x14ac:dyDescent="0.25">
      <c r="A18" s="105"/>
      <c r="B18" s="105"/>
      <c r="C18" s="105"/>
      <c r="D18" s="105"/>
      <c r="E18" s="105"/>
      <c r="F18" s="105"/>
    </row>
    <row r="19" spans="1:8" s="108" customFormat="1" ht="15" x14ac:dyDescent="0.25">
      <c r="A19" s="296" t="s">
        <v>296</v>
      </c>
      <c r="B19" s="296"/>
      <c r="C19" s="296"/>
      <c r="D19" s="296"/>
      <c r="E19" s="296"/>
      <c r="F19" s="148">
        <f>F17*12</f>
        <v>5529205.3200000003</v>
      </c>
      <c r="G19" s="155"/>
      <c r="H19" s="160"/>
    </row>
  </sheetData>
  <mergeCells count="7">
    <mergeCell ref="A17:E17"/>
    <mergeCell ref="A19:E19"/>
    <mergeCell ref="A6:F6"/>
    <mergeCell ref="A2:F3"/>
    <mergeCell ref="A8:B8"/>
    <mergeCell ref="A9:A16"/>
    <mergeCell ref="B9:B16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8"/>
  <sheetViews>
    <sheetView showGridLines="0" workbookViewId="0">
      <selection activeCell="D55" sqref="D55"/>
    </sheetView>
  </sheetViews>
  <sheetFormatPr defaultRowHeight="12.75" x14ac:dyDescent="0.2"/>
  <cols>
    <col min="1" max="1" width="5.7109375" style="13" customWidth="1"/>
    <col min="2" max="2" width="47.28515625" style="13" bestFit="1" customWidth="1"/>
    <col min="3" max="3" width="9.140625" style="13" customWidth="1"/>
    <col min="4" max="4" width="123.140625" style="13" customWidth="1"/>
    <col min="5" max="16384" width="9.140625" style="13"/>
  </cols>
  <sheetData>
    <row r="1" spans="1:6" ht="13.5" thickBot="1" x14ac:dyDescent="0.25">
      <c r="A1" s="402" t="s">
        <v>26</v>
      </c>
      <c r="B1" s="403"/>
      <c r="C1" s="403"/>
      <c r="D1" s="403"/>
    </row>
    <row r="2" spans="1:6" ht="13.5" thickBot="1" x14ac:dyDescent="0.25">
      <c r="A2" s="287">
        <v>1</v>
      </c>
      <c r="B2" s="376" t="s">
        <v>43</v>
      </c>
      <c r="C2" s="377"/>
      <c r="D2" s="14" t="s">
        <v>118</v>
      </c>
    </row>
    <row r="3" spans="1:6" ht="13.5" thickBot="1" x14ac:dyDescent="0.25">
      <c r="A3" s="15" t="s">
        <v>31</v>
      </c>
      <c r="B3" s="356" t="s">
        <v>45</v>
      </c>
      <c r="C3" s="356"/>
      <c r="D3" s="16" t="s">
        <v>378</v>
      </c>
    </row>
    <row r="4" spans="1:6" ht="13.5" thickBot="1" x14ac:dyDescent="0.25">
      <c r="A4" s="402" t="s">
        <v>56</v>
      </c>
      <c r="B4" s="403"/>
      <c r="C4" s="403"/>
      <c r="D4" s="403"/>
    </row>
    <row r="5" spans="1:6" ht="13.5" thickBot="1" x14ac:dyDescent="0.25">
      <c r="A5" s="402" t="s">
        <v>57</v>
      </c>
      <c r="B5" s="403"/>
      <c r="C5" s="403"/>
      <c r="D5" s="403"/>
    </row>
    <row r="6" spans="1:6" ht="13.5" thickBot="1" x14ac:dyDescent="0.25">
      <c r="A6" s="27" t="s">
        <v>58</v>
      </c>
      <c r="B6" s="28" t="s">
        <v>59</v>
      </c>
      <c r="C6" s="29" t="s">
        <v>60</v>
      </c>
      <c r="D6" s="38" t="s">
        <v>118</v>
      </c>
    </row>
    <row r="7" spans="1:6" x14ac:dyDescent="0.2">
      <c r="A7" s="80" t="s">
        <v>31</v>
      </c>
      <c r="B7" s="90" t="s">
        <v>61</v>
      </c>
      <c r="C7" s="91">
        <v>8.3299999999999999E-2</v>
      </c>
      <c r="D7" s="92" t="s">
        <v>135</v>
      </c>
    </row>
    <row r="8" spans="1:6" ht="13.5" customHeight="1" x14ac:dyDescent="0.2">
      <c r="A8" s="10" t="s">
        <v>33</v>
      </c>
      <c r="B8" s="33" t="s">
        <v>62</v>
      </c>
      <c r="C8" s="34">
        <v>0.121</v>
      </c>
      <c r="D8" s="11" t="s">
        <v>167</v>
      </c>
    </row>
    <row r="9" spans="1:6" ht="26.25" customHeight="1" thickBot="1" x14ac:dyDescent="0.25">
      <c r="A9" s="93" t="s">
        <v>3</v>
      </c>
      <c r="B9" s="89" t="s">
        <v>165</v>
      </c>
      <c r="C9" s="94">
        <v>7.3099999999999998E-2</v>
      </c>
      <c r="D9" s="95" t="s">
        <v>168</v>
      </c>
    </row>
    <row r="10" spans="1:6" ht="13.5" thickBot="1" x14ac:dyDescent="0.25">
      <c r="A10" s="341" t="s">
        <v>64</v>
      </c>
      <c r="B10" s="342"/>
      <c r="C10" s="342"/>
      <c r="D10" s="342"/>
    </row>
    <row r="11" spans="1:6" ht="13.5" thickBot="1" x14ac:dyDescent="0.25">
      <c r="A11" s="27" t="s">
        <v>65</v>
      </c>
      <c r="B11" s="285" t="s">
        <v>66</v>
      </c>
      <c r="C11" s="29" t="s">
        <v>60</v>
      </c>
      <c r="D11" s="38" t="s">
        <v>118</v>
      </c>
      <c r="F11" s="13">
        <f>(1/11)*100</f>
        <v>9.0909090909090899</v>
      </c>
    </row>
    <row r="12" spans="1:6" x14ac:dyDescent="0.2">
      <c r="A12" s="9" t="s">
        <v>31</v>
      </c>
      <c r="B12" s="31" t="s">
        <v>9</v>
      </c>
      <c r="C12" s="32">
        <v>0.2</v>
      </c>
      <c r="D12" s="11" t="s">
        <v>126</v>
      </c>
    </row>
    <row r="13" spans="1:6" x14ac:dyDescent="0.2">
      <c r="A13" s="9" t="s">
        <v>2</v>
      </c>
      <c r="B13" s="31" t="s">
        <v>121</v>
      </c>
      <c r="C13" s="32">
        <v>2.5000000000000001E-2</v>
      </c>
      <c r="D13" s="11" t="s">
        <v>159</v>
      </c>
    </row>
    <row r="14" spans="1:6" ht="38.25" x14ac:dyDescent="0.2">
      <c r="A14" s="9" t="s">
        <v>3</v>
      </c>
      <c r="B14" s="31" t="s">
        <v>129</v>
      </c>
      <c r="C14" s="32">
        <v>0.03</v>
      </c>
      <c r="D14" s="73" t="s">
        <v>133</v>
      </c>
    </row>
    <row r="15" spans="1:6" x14ac:dyDescent="0.2">
      <c r="A15" s="9" t="s">
        <v>4</v>
      </c>
      <c r="B15" s="31" t="s">
        <v>119</v>
      </c>
      <c r="C15" s="32">
        <v>1.4999999999999999E-2</v>
      </c>
      <c r="D15" s="11" t="s">
        <v>160</v>
      </c>
    </row>
    <row r="16" spans="1:6" x14ac:dyDescent="0.2">
      <c r="A16" s="9" t="s">
        <v>5</v>
      </c>
      <c r="B16" s="31" t="s">
        <v>120</v>
      </c>
      <c r="C16" s="32">
        <v>0.01</v>
      </c>
      <c r="D16" s="71" t="s">
        <v>161</v>
      </c>
    </row>
    <row r="17" spans="1:4" x14ac:dyDescent="0.2">
      <c r="A17" s="9" t="s">
        <v>6</v>
      </c>
      <c r="B17" s="31" t="s">
        <v>12</v>
      </c>
      <c r="C17" s="32">
        <v>6.0000000000000001E-3</v>
      </c>
      <c r="D17" s="11" t="s">
        <v>162</v>
      </c>
    </row>
    <row r="18" spans="1:4" x14ac:dyDescent="0.2">
      <c r="A18" s="10" t="s">
        <v>7</v>
      </c>
      <c r="B18" s="31" t="s">
        <v>10</v>
      </c>
      <c r="C18" s="32">
        <v>2E-3</v>
      </c>
      <c r="D18" s="11" t="s">
        <v>128</v>
      </c>
    </row>
    <row r="19" spans="1:4" ht="13.5" thickBot="1" x14ac:dyDescent="0.25">
      <c r="A19" s="10" t="s">
        <v>158</v>
      </c>
      <c r="B19" s="31" t="s">
        <v>11</v>
      </c>
      <c r="C19" s="32">
        <v>0.08</v>
      </c>
      <c r="D19" s="11" t="s">
        <v>127</v>
      </c>
    </row>
    <row r="20" spans="1:4" ht="13.5" thickBot="1" x14ac:dyDescent="0.25">
      <c r="A20" s="402" t="s">
        <v>75</v>
      </c>
      <c r="B20" s="403"/>
      <c r="C20" s="403"/>
      <c r="D20" s="403"/>
    </row>
    <row r="21" spans="1:4" ht="13.5" thickBot="1" x14ac:dyDescent="0.25">
      <c r="A21" s="27" t="s">
        <v>76</v>
      </c>
      <c r="B21" s="354" t="s">
        <v>17</v>
      </c>
      <c r="C21" s="343"/>
      <c r="D21" s="38" t="s">
        <v>118</v>
      </c>
    </row>
    <row r="22" spans="1:4" x14ac:dyDescent="0.2">
      <c r="A22" s="3" t="s">
        <v>31</v>
      </c>
      <c r="B22" s="355" t="s">
        <v>77</v>
      </c>
      <c r="C22" s="356"/>
      <c r="D22" s="16" t="s">
        <v>173</v>
      </c>
    </row>
    <row r="23" spans="1:4" x14ac:dyDescent="0.2">
      <c r="A23" s="5" t="s">
        <v>33</v>
      </c>
      <c r="B23" s="362" t="s">
        <v>78</v>
      </c>
      <c r="C23" s="358"/>
      <c r="D23" s="16" t="s">
        <v>379</v>
      </c>
    </row>
    <row r="24" spans="1:4" x14ac:dyDescent="0.2">
      <c r="A24" s="5" t="s">
        <v>3</v>
      </c>
      <c r="B24" s="40" t="s">
        <v>79</v>
      </c>
      <c r="C24" s="41"/>
      <c r="D24" s="16" t="s">
        <v>380</v>
      </c>
    </row>
    <row r="25" spans="1:4" x14ac:dyDescent="0.2">
      <c r="A25" s="5" t="s">
        <v>47</v>
      </c>
      <c r="B25" s="42" t="s">
        <v>80</v>
      </c>
      <c r="C25" s="41"/>
      <c r="D25" s="16" t="s">
        <v>381</v>
      </c>
    </row>
    <row r="26" spans="1:4" ht="13.5" thickBot="1" x14ac:dyDescent="0.25">
      <c r="A26" s="3" t="s">
        <v>5</v>
      </c>
      <c r="B26" s="355" t="s">
        <v>81</v>
      </c>
      <c r="C26" s="356"/>
      <c r="D26" s="16" t="s">
        <v>382</v>
      </c>
    </row>
    <row r="27" spans="1:4" ht="13.5" thickBot="1" x14ac:dyDescent="0.25">
      <c r="A27" s="402" t="s">
        <v>90</v>
      </c>
      <c r="B27" s="403"/>
      <c r="C27" s="403"/>
      <c r="D27" s="403"/>
    </row>
    <row r="28" spans="1:4" ht="13.5" thickBot="1" x14ac:dyDescent="0.25">
      <c r="A28" s="274">
        <v>3</v>
      </c>
      <c r="B28" s="275" t="s">
        <v>22</v>
      </c>
      <c r="C28" s="276" t="s">
        <v>0</v>
      </c>
      <c r="D28" s="53" t="s">
        <v>118</v>
      </c>
    </row>
    <row r="29" spans="1:4" ht="13.5" thickBot="1" x14ac:dyDescent="0.25">
      <c r="A29" s="277" t="s">
        <v>1</v>
      </c>
      <c r="B29" s="278" t="s">
        <v>13</v>
      </c>
      <c r="C29" s="59">
        <v>4.5999999999999999E-3</v>
      </c>
      <c r="D29" s="72" t="s">
        <v>509</v>
      </c>
    </row>
    <row r="30" spans="1:4" ht="13.5" thickBot="1" x14ac:dyDescent="0.25">
      <c r="A30" s="277" t="s">
        <v>2</v>
      </c>
      <c r="B30" s="278" t="s">
        <v>91</v>
      </c>
      <c r="C30" s="59">
        <f>8%*C29</f>
        <v>4.0000000000000002E-4</v>
      </c>
      <c r="D30" s="72" t="s">
        <v>122</v>
      </c>
    </row>
    <row r="31" spans="1:4" ht="13.5" thickBot="1" x14ac:dyDescent="0.25">
      <c r="A31" s="277" t="s">
        <v>3</v>
      </c>
      <c r="B31" s="278" t="s">
        <v>510</v>
      </c>
      <c r="C31" s="290">
        <v>3.4700000000000002E-2</v>
      </c>
      <c r="D31" s="292" t="s">
        <v>511</v>
      </c>
    </row>
    <row r="32" spans="1:4" ht="13.5" thickBot="1" x14ac:dyDescent="0.25">
      <c r="A32" s="277" t="s">
        <v>4</v>
      </c>
      <c r="B32" s="278" t="s">
        <v>23</v>
      </c>
      <c r="C32" s="59">
        <v>1.9400000000000001E-2</v>
      </c>
      <c r="D32" s="11" t="s">
        <v>136</v>
      </c>
    </row>
    <row r="33" spans="1:4" ht="26.25" thickBot="1" x14ac:dyDescent="0.25">
      <c r="A33" s="277" t="s">
        <v>5</v>
      </c>
      <c r="B33" s="278" t="s">
        <v>154</v>
      </c>
      <c r="C33" s="59">
        <f>1*36.8%*C32</f>
        <v>7.1000000000000004E-3</v>
      </c>
      <c r="D33" s="11" t="s">
        <v>123</v>
      </c>
    </row>
    <row r="34" spans="1:4" ht="13.5" thickBot="1" x14ac:dyDescent="0.25">
      <c r="A34" s="277" t="s">
        <v>6</v>
      </c>
      <c r="B34" s="278" t="s">
        <v>512</v>
      </c>
      <c r="C34" s="290">
        <v>2.0000000000000001E-4</v>
      </c>
      <c r="D34" s="11" t="s">
        <v>513</v>
      </c>
    </row>
    <row r="35" spans="1:4" ht="13.5" thickBot="1" x14ac:dyDescent="0.25">
      <c r="A35" s="404" t="s">
        <v>94</v>
      </c>
      <c r="B35" s="405"/>
      <c r="C35" s="405"/>
      <c r="D35" s="405"/>
    </row>
    <row r="36" spans="1:4" ht="13.5" thickBot="1" x14ac:dyDescent="0.25">
      <c r="A36" s="274" t="s">
        <v>20</v>
      </c>
      <c r="B36" s="279" t="s">
        <v>96</v>
      </c>
      <c r="C36" s="274" t="s">
        <v>0</v>
      </c>
      <c r="D36" s="53" t="s">
        <v>118</v>
      </c>
    </row>
    <row r="37" spans="1:4" ht="18.75" customHeight="1" thickBot="1" x14ac:dyDescent="0.25">
      <c r="A37" s="277" t="s">
        <v>1</v>
      </c>
      <c r="B37" s="278" t="s">
        <v>155</v>
      </c>
      <c r="C37" s="291">
        <v>9.0749999999999997E-2</v>
      </c>
      <c r="D37" s="11" t="s">
        <v>515</v>
      </c>
    </row>
    <row r="38" spans="1:4" ht="13.5" thickBot="1" x14ac:dyDescent="0.25">
      <c r="A38" s="277" t="s">
        <v>2</v>
      </c>
      <c r="B38" s="278" t="s">
        <v>97</v>
      </c>
      <c r="C38" s="62">
        <v>4.1999999999999997E-3</v>
      </c>
      <c r="D38" s="16" t="s">
        <v>137</v>
      </c>
    </row>
    <row r="39" spans="1:4" ht="13.5" thickBot="1" x14ac:dyDescent="0.25">
      <c r="A39" s="277" t="s">
        <v>3</v>
      </c>
      <c r="B39" s="278" t="s">
        <v>98</v>
      </c>
      <c r="C39" s="62">
        <v>2.0000000000000001E-4</v>
      </c>
      <c r="D39" s="16" t="s">
        <v>163</v>
      </c>
    </row>
    <row r="40" spans="1:4" ht="26.25" thickBot="1" x14ac:dyDescent="0.25">
      <c r="A40" s="277" t="s">
        <v>4</v>
      </c>
      <c r="B40" s="278" t="s">
        <v>99</v>
      </c>
      <c r="C40" s="62">
        <v>4.1999999999999997E-3</v>
      </c>
      <c r="D40" s="76" t="s">
        <v>138</v>
      </c>
    </row>
    <row r="41" spans="1:4" ht="13.5" thickBot="1" x14ac:dyDescent="0.25">
      <c r="A41" s="277" t="s">
        <v>5</v>
      </c>
      <c r="B41" s="278" t="s">
        <v>100</v>
      </c>
      <c r="C41" s="62">
        <v>2.0000000000000001E-4</v>
      </c>
      <c r="D41" s="16" t="s">
        <v>139</v>
      </c>
    </row>
    <row r="42" spans="1:4" ht="13.5" thickBot="1" x14ac:dyDescent="0.25">
      <c r="A42" s="402" t="s">
        <v>106</v>
      </c>
      <c r="B42" s="403"/>
      <c r="C42" s="403"/>
      <c r="D42" s="403"/>
    </row>
    <row r="43" spans="1:4" ht="26.25" thickBot="1" x14ac:dyDescent="0.25">
      <c r="A43" s="52">
        <v>6</v>
      </c>
      <c r="B43" s="65" t="s">
        <v>24</v>
      </c>
      <c r="C43" s="285" t="s">
        <v>107</v>
      </c>
      <c r="D43" s="53" t="s">
        <v>88</v>
      </c>
    </row>
    <row r="44" spans="1:4" ht="13.5" thickBot="1" x14ac:dyDescent="0.25">
      <c r="A44" s="54" t="s">
        <v>1</v>
      </c>
      <c r="B44" s="66" t="s">
        <v>25</v>
      </c>
      <c r="C44" s="74">
        <v>0.05</v>
      </c>
      <c r="D44" s="72" t="s">
        <v>124</v>
      </c>
    </row>
    <row r="45" spans="1:4" ht="13.5" thickBot="1" x14ac:dyDescent="0.25">
      <c r="A45" s="54" t="s">
        <v>2</v>
      </c>
      <c r="B45" s="66" t="s">
        <v>108</v>
      </c>
      <c r="C45" s="62">
        <v>3.0499999999999999E-2</v>
      </c>
      <c r="D45" s="72" t="s">
        <v>514</v>
      </c>
    </row>
    <row r="46" spans="1:4" ht="13.5" thickBot="1" x14ac:dyDescent="0.25">
      <c r="A46" s="54" t="s">
        <v>3</v>
      </c>
      <c r="B46" s="66" t="s">
        <v>109</v>
      </c>
      <c r="C46" s="62"/>
      <c r="D46" s="55"/>
    </row>
    <row r="47" spans="1:4" ht="39" thickBot="1" x14ac:dyDescent="0.25">
      <c r="A47" s="54"/>
      <c r="B47" s="66" t="s">
        <v>110</v>
      </c>
      <c r="C47" s="62">
        <f>7.6%+1.65%</f>
        <v>9.2499999999999999E-2</v>
      </c>
      <c r="D47" s="75" t="s">
        <v>134</v>
      </c>
    </row>
    <row r="48" spans="1:4" ht="13.5" thickBot="1" x14ac:dyDescent="0.25">
      <c r="A48" s="54"/>
      <c r="B48" s="66" t="s">
        <v>111</v>
      </c>
      <c r="C48" s="67">
        <v>0.05</v>
      </c>
      <c r="D48" s="72" t="s">
        <v>125</v>
      </c>
    </row>
  </sheetData>
  <mergeCells count="14">
    <mergeCell ref="A4:D4"/>
    <mergeCell ref="A5:D5"/>
    <mergeCell ref="A1:D1"/>
    <mergeCell ref="B2:C2"/>
    <mergeCell ref="B3:C3"/>
    <mergeCell ref="A42:D42"/>
    <mergeCell ref="A27:D27"/>
    <mergeCell ref="A35:D35"/>
    <mergeCell ref="B26:C26"/>
    <mergeCell ref="A10:D10"/>
    <mergeCell ref="A20:D20"/>
    <mergeCell ref="B21:C21"/>
    <mergeCell ref="B22:C22"/>
    <mergeCell ref="B23:C23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showGridLines="0" workbookViewId="0">
      <selection activeCell="G52" sqref="G52"/>
    </sheetView>
  </sheetViews>
  <sheetFormatPr defaultRowHeight="15" x14ac:dyDescent="0.25"/>
  <cols>
    <col min="1" max="1" width="9.140625" style="107"/>
    <col min="2" max="2" width="43.7109375" style="100" customWidth="1"/>
    <col min="3" max="3" width="13.140625" style="107" customWidth="1"/>
    <col min="4" max="4" width="11.28515625" style="107" customWidth="1"/>
    <col min="5" max="5" width="13.5703125" style="107" customWidth="1"/>
    <col min="6" max="6" width="15" style="182" customWidth="1"/>
    <col min="7" max="7" width="21.28515625" style="183" customWidth="1"/>
    <col min="8" max="8" width="16.42578125" style="100" customWidth="1"/>
    <col min="9" max="253" width="9.140625" style="100"/>
    <col min="254" max="254" width="43.7109375" style="100" customWidth="1"/>
    <col min="255" max="255" width="13.140625" style="100" customWidth="1"/>
    <col min="256" max="256" width="11.28515625" style="100" customWidth="1"/>
    <col min="257" max="257" width="13.5703125" style="100" customWidth="1"/>
    <col min="258" max="258" width="15" style="100" customWidth="1"/>
    <col min="259" max="259" width="21.28515625" style="100" customWidth="1"/>
    <col min="260" max="263" width="18.140625" style="100" customWidth="1"/>
    <col min="264" max="509" width="9.140625" style="100"/>
    <col min="510" max="510" width="43.7109375" style="100" customWidth="1"/>
    <col min="511" max="511" width="13.140625" style="100" customWidth="1"/>
    <col min="512" max="512" width="11.28515625" style="100" customWidth="1"/>
    <col min="513" max="513" width="13.5703125" style="100" customWidth="1"/>
    <col min="514" max="514" width="15" style="100" customWidth="1"/>
    <col min="515" max="515" width="21.28515625" style="100" customWidth="1"/>
    <col min="516" max="519" width="18.140625" style="100" customWidth="1"/>
    <col min="520" max="765" width="9.140625" style="100"/>
    <col min="766" max="766" width="43.7109375" style="100" customWidth="1"/>
    <col min="767" max="767" width="13.140625" style="100" customWidth="1"/>
    <col min="768" max="768" width="11.28515625" style="100" customWidth="1"/>
    <col min="769" max="769" width="13.5703125" style="100" customWidth="1"/>
    <col min="770" max="770" width="15" style="100" customWidth="1"/>
    <col min="771" max="771" width="21.28515625" style="100" customWidth="1"/>
    <col min="772" max="775" width="18.140625" style="100" customWidth="1"/>
    <col min="776" max="1021" width="9.140625" style="100"/>
    <col min="1022" max="1022" width="43.7109375" style="100" customWidth="1"/>
    <col min="1023" max="1023" width="13.140625" style="100" customWidth="1"/>
    <col min="1024" max="1024" width="11.28515625" style="100" customWidth="1"/>
    <col min="1025" max="1025" width="13.5703125" style="100" customWidth="1"/>
    <col min="1026" max="1026" width="15" style="100" customWidth="1"/>
    <col min="1027" max="1027" width="21.28515625" style="100" customWidth="1"/>
    <col min="1028" max="1031" width="18.140625" style="100" customWidth="1"/>
    <col min="1032" max="1277" width="9.140625" style="100"/>
    <col min="1278" max="1278" width="43.7109375" style="100" customWidth="1"/>
    <col min="1279" max="1279" width="13.140625" style="100" customWidth="1"/>
    <col min="1280" max="1280" width="11.28515625" style="100" customWidth="1"/>
    <col min="1281" max="1281" width="13.5703125" style="100" customWidth="1"/>
    <col min="1282" max="1282" width="15" style="100" customWidth="1"/>
    <col min="1283" max="1283" width="21.28515625" style="100" customWidth="1"/>
    <col min="1284" max="1287" width="18.140625" style="100" customWidth="1"/>
    <col min="1288" max="1533" width="9.140625" style="100"/>
    <col min="1534" max="1534" width="43.7109375" style="100" customWidth="1"/>
    <col min="1535" max="1535" width="13.140625" style="100" customWidth="1"/>
    <col min="1536" max="1536" width="11.28515625" style="100" customWidth="1"/>
    <col min="1537" max="1537" width="13.5703125" style="100" customWidth="1"/>
    <col min="1538" max="1538" width="15" style="100" customWidth="1"/>
    <col min="1539" max="1539" width="21.28515625" style="100" customWidth="1"/>
    <col min="1540" max="1543" width="18.140625" style="100" customWidth="1"/>
    <col min="1544" max="1789" width="9.140625" style="100"/>
    <col min="1790" max="1790" width="43.7109375" style="100" customWidth="1"/>
    <col min="1791" max="1791" width="13.140625" style="100" customWidth="1"/>
    <col min="1792" max="1792" width="11.28515625" style="100" customWidth="1"/>
    <col min="1793" max="1793" width="13.5703125" style="100" customWidth="1"/>
    <col min="1794" max="1794" width="15" style="100" customWidth="1"/>
    <col min="1795" max="1795" width="21.28515625" style="100" customWidth="1"/>
    <col min="1796" max="1799" width="18.140625" style="100" customWidth="1"/>
    <col min="1800" max="2045" width="9.140625" style="100"/>
    <col min="2046" max="2046" width="43.7109375" style="100" customWidth="1"/>
    <col min="2047" max="2047" width="13.140625" style="100" customWidth="1"/>
    <col min="2048" max="2048" width="11.28515625" style="100" customWidth="1"/>
    <col min="2049" max="2049" width="13.5703125" style="100" customWidth="1"/>
    <col min="2050" max="2050" width="15" style="100" customWidth="1"/>
    <col min="2051" max="2051" width="21.28515625" style="100" customWidth="1"/>
    <col min="2052" max="2055" width="18.140625" style="100" customWidth="1"/>
    <col min="2056" max="2301" width="9.140625" style="100"/>
    <col min="2302" max="2302" width="43.7109375" style="100" customWidth="1"/>
    <col min="2303" max="2303" width="13.140625" style="100" customWidth="1"/>
    <col min="2304" max="2304" width="11.28515625" style="100" customWidth="1"/>
    <col min="2305" max="2305" width="13.5703125" style="100" customWidth="1"/>
    <col min="2306" max="2306" width="15" style="100" customWidth="1"/>
    <col min="2307" max="2307" width="21.28515625" style="100" customWidth="1"/>
    <col min="2308" max="2311" width="18.140625" style="100" customWidth="1"/>
    <col min="2312" max="2557" width="9.140625" style="100"/>
    <col min="2558" max="2558" width="43.7109375" style="100" customWidth="1"/>
    <col min="2559" max="2559" width="13.140625" style="100" customWidth="1"/>
    <col min="2560" max="2560" width="11.28515625" style="100" customWidth="1"/>
    <col min="2561" max="2561" width="13.5703125" style="100" customWidth="1"/>
    <col min="2562" max="2562" width="15" style="100" customWidth="1"/>
    <col min="2563" max="2563" width="21.28515625" style="100" customWidth="1"/>
    <col min="2564" max="2567" width="18.140625" style="100" customWidth="1"/>
    <col min="2568" max="2813" width="9.140625" style="100"/>
    <col min="2814" max="2814" width="43.7109375" style="100" customWidth="1"/>
    <col min="2815" max="2815" width="13.140625" style="100" customWidth="1"/>
    <col min="2816" max="2816" width="11.28515625" style="100" customWidth="1"/>
    <col min="2817" max="2817" width="13.5703125" style="100" customWidth="1"/>
    <col min="2818" max="2818" width="15" style="100" customWidth="1"/>
    <col min="2819" max="2819" width="21.28515625" style="100" customWidth="1"/>
    <col min="2820" max="2823" width="18.140625" style="100" customWidth="1"/>
    <col min="2824" max="3069" width="9.140625" style="100"/>
    <col min="3070" max="3070" width="43.7109375" style="100" customWidth="1"/>
    <col min="3071" max="3071" width="13.140625" style="100" customWidth="1"/>
    <col min="3072" max="3072" width="11.28515625" style="100" customWidth="1"/>
    <col min="3073" max="3073" width="13.5703125" style="100" customWidth="1"/>
    <col min="3074" max="3074" width="15" style="100" customWidth="1"/>
    <col min="3075" max="3075" width="21.28515625" style="100" customWidth="1"/>
    <col min="3076" max="3079" width="18.140625" style="100" customWidth="1"/>
    <col min="3080" max="3325" width="9.140625" style="100"/>
    <col min="3326" max="3326" width="43.7109375" style="100" customWidth="1"/>
    <col min="3327" max="3327" width="13.140625" style="100" customWidth="1"/>
    <col min="3328" max="3328" width="11.28515625" style="100" customWidth="1"/>
    <col min="3329" max="3329" width="13.5703125" style="100" customWidth="1"/>
    <col min="3330" max="3330" width="15" style="100" customWidth="1"/>
    <col min="3331" max="3331" width="21.28515625" style="100" customWidth="1"/>
    <col min="3332" max="3335" width="18.140625" style="100" customWidth="1"/>
    <col min="3336" max="3581" width="9.140625" style="100"/>
    <col min="3582" max="3582" width="43.7109375" style="100" customWidth="1"/>
    <col min="3583" max="3583" width="13.140625" style="100" customWidth="1"/>
    <col min="3584" max="3584" width="11.28515625" style="100" customWidth="1"/>
    <col min="3585" max="3585" width="13.5703125" style="100" customWidth="1"/>
    <col min="3586" max="3586" width="15" style="100" customWidth="1"/>
    <col min="3587" max="3587" width="21.28515625" style="100" customWidth="1"/>
    <col min="3588" max="3591" width="18.140625" style="100" customWidth="1"/>
    <col min="3592" max="3837" width="9.140625" style="100"/>
    <col min="3838" max="3838" width="43.7109375" style="100" customWidth="1"/>
    <col min="3839" max="3839" width="13.140625" style="100" customWidth="1"/>
    <col min="3840" max="3840" width="11.28515625" style="100" customWidth="1"/>
    <col min="3841" max="3841" width="13.5703125" style="100" customWidth="1"/>
    <col min="3842" max="3842" width="15" style="100" customWidth="1"/>
    <col min="3843" max="3843" width="21.28515625" style="100" customWidth="1"/>
    <col min="3844" max="3847" width="18.140625" style="100" customWidth="1"/>
    <col min="3848" max="4093" width="9.140625" style="100"/>
    <col min="4094" max="4094" width="43.7109375" style="100" customWidth="1"/>
    <col min="4095" max="4095" width="13.140625" style="100" customWidth="1"/>
    <col min="4096" max="4096" width="11.28515625" style="100" customWidth="1"/>
    <col min="4097" max="4097" width="13.5703125" style="100" customWidth="1"/>
    <col min="4098" max="4098" width="15" style="100" customWidth="1"/>
    <col min="4099" max="4099" width="21.28515625" style="100" customWidth="1"/>
    <col min="4100" max="4103" width="18.140625" style="100" customWidth="1"/>
    <col min="4104" max="4349" width="9.140625" style="100"/>
    <col min="4350" max="4350" width="43.7109375" style="100" customWidth="1"/>
    <col min="4351" max="4351" width="13.140625" style="100" customWidth="1"/>
    <col min="4352" max="4352" width="11.28515625" style="100" customWidth="1"/>
    <col min="4353" max="4353" width="13.5703125" style="100" customWidth="1"/>
    <col min="4354" max="4354" width="15" style="100" customWidth="1"/>
    <col min="4355" max="4355" width="21.28515625" style="100" customWidth="1"/>
    <col min="4356" max="4359" width="18.140625" style="100" customWidth="1"/>
    <col min="4360" max="4605" width="9.140625" style="100"/>
    <col min="4606" max="4606" width="43.7109375" style="100" customWidth="1"/>
    <col min="4607" max="4607" width="13.140625" style="100" customWidth="1"/>
    <col min="4608" max="4608" width="11.28515625" style="100" customWidth="1"/>
    <col min="4609" max="4609" width="13.5703125" style="100" customWidth="1"/>
    <col min="4610" max="4610" width="15" style="100" customWidth="1"/>
    <col min="4611" max="4611" width="21.28515625" style="100" customWidth="1"/>
    <col min="4612" max="4615" width="18.140625" style="100" customWidth="1"/>
    <col min="4616" max="4861" width="9.140625" style="100"/>
    <col min="4862" max="4862" width="43.7109375" style="100" customWidth="1"/>
    <col min="4863" max="4863" width="13.140625" style="100" customWidth="1"/>
    <col min="4864" max="4864" width="11.28515625" style="100" customWidth="1"/>
    <col min="4865" max="4865" width="13.5703125" style="100" customWidth="1"/>
    <col min="4866" max="4866" width="15" style="100" customWidth="1"/>
    <col min="4867" max="4867" width="21.28515625" style="100" customWidth="1"/>
    <col min="4868" max="4871" width="18.140625" style="100" customWidth="1"/>
    <col min="4872" max="5117" width="9.140625" style="100"/>
    <col min="5118" max="5118" width="43.7109375" style="100" customWidth="1"/>
    <col min="5119" max="5119" width="13.140625" style="100" customWidth="1"/>
    <col min="5120" max="5120" width="11.28515625" style="100" customWidth="1"/>
    <col min="5121" max="5121" width="13.5703125" style="100" customWidth="1"/>
    <col min="5122" max="5122" width="15" style="100" customWidth="1"/>
    <col min="5123" max="5123" width="21.28515625" style="100" customWidth="1"/>
    <col min="5124" max="5127" width="18.140625" style="100" customWidth="1"/>
    <col min="5128" max="5373" width="9.140625" style="100"/>
    <col min="5374" max="5374" width="43.7109375" style="100" customWidth="1"/>
    <col min="5375" max="5375" width="13.140625" style="100" customWidth="1"/>
    <col min="5376" max="5376" width="11.28515625" style="100" customWidth="1"/>
    <col min="5377" max="5377" width="13.5703125" style="100" customWidth="1"/>
    <col min="5378" max="5378" width="15" style="100" customWidth="1"/>
    <col min="5379" max="5379" width="21.28515625" style="100" customWidth="1"/>
    <col min="5380" max="5383" width="18.140625" style="100" customWidth="1"/>
    <col min="5384" max="5629" width="9.140625" style="100"/>
    <col min="5630" max="5630" width="43.7109375" style="100" customWidth="1"/>
    <col min="5631" max="5631" width="13.140625" style="100" customWidth="1"/>
    <col min="5632" max="5632" width="11.28515625" style="100" customWidth="1"/>
    <col min="5633" max="5633" width="13.5703125" style="100" customWidth="1"/>
    <col min="5634" max="5634" width="15" style="100" customWidth="1"/>
    <col min="5635" max="5635" width="21.28515625" style="100" customWidth="1"/>
    <col min="5636" max="5639" width="18.140625" style="100" customWidth="1"/>
    <col min="5640" max="5885" width="9.140625" style="100"/>
    <col min="5886" max="5886" width="43.7109375" style="100" customWidth="1"/>
    <col min="5887" max="5887" width="13.140625" style="100" customWidth="1"/>
    <col min="5888" max="5888" width="11.28515625" style="100" customWidth="1"/>
    <col min="5889" max="5889" width="13.5703125" style="100" customWidth="1"/>
    <col min="5890" max="5890" width="15" style="100" customWidth="1"/>
    <col min="5891" max="5891" width="21.28515625" style="100" customWidth="1"/>
    <col min="5892" max="5895" width="18.140625" style="100" customWidth="1"/>
    <col min="5896" max="6141" width="9.140625" style="100"/>
    <col min="6142" max="6142" width="43.7109375" style="100" customWidth="1"/>
    <col min="6143" max="6143" width="13.140625" style="100" customWidth="1"/>
    <col min="6144" max="6144" width="11.28515625" style="100" customWidth="1"/>
    <col min="6145" max="6145" width="13.5703125" style="100" customWidth="1"/>
    <col min="6146" max="6146" width="15" style="100" customWidth="1"/>
    <col min="6147" max="6147" width="21.28515625" style="100" customWidth="1"/>
    <col min="6148" max="6151" width="18.140625" style="100" customWidth="1"/>
    <col min="6152" max="6397" width="9.140625" style="100"/>
    <col min="6398" max="6398" width="43.7109375" style="100" customWidth="1"/>
    <col min="6399" max="6399" width="13.140625" style="100" customWidth="1"/>
    <col min="6400" max="6400" width="11.28515625" style="100" customWidth="1"/>
    <col min="6401" max="6401" width="13.5703125" style="100" customWidth="1"/>
    <col min="6402" max="6402" width="15" style="100" customWidth="1"/>
    <col min="6403" max="6403" width="21.28515625" style="100" customWidth="1"/>
    <col min="6404" max="6407" width="18.140625" style="100" customWidth="1"/>
    <col min="6408" max="6653" width="9.140625" style="100"/>
    <col min="6654" max="6654" width="43.7109375" style="100" customWidth="1"/>
    <col min="6655" max="6655" width="13.140625" style="100" customWidth="1"/>
    <col min="6656" max="6656" width="11.28515625" style="100" customWidth="1"/>
    <col min="6657" max="6657" width="13.5703125" style="100" customWidth="1"/>
    <col min="6658" max="6658" width="15" style="100" customWidth="1"/>
    <col min="6659" max="6659" width="21.28515625" style="100" customWidth="1"/>
    <col min="6660" max="6663" width="18.140625" style="100" customWidth="1"/>
    <col min="6664" max="6909" width="9.140625" style="100"/>
    <col min="6910" max="6910" width="43.7109375" style="100" customWidth="1"/>
    <col min="6911" max="6911" width="13.140625" style="100" customWidth="1"/>
    <col min="6912" max="6912" width="11.28515625" style="100" customWidth="1"/>
    <col min="6913" max="6913" width="13.5703125" style="100" customWidth="1"/>
    <col min="6914" max="6914" width="15" style="100" customWidth="1"/>
    <col min="6915" max="6915" width="21.28515625" style="100" customWidth="1"/>
    <col min="6916" max="6919" width="18.140625" style="100" customWidth="1"/>
    <col min="6920" max="7165" width="9.140625" style="100"/>
    <col min="7166" max="7166" width="43.7109375" style="100" customWidth="1"/>
    <col min="7167" max="7167" width="13.140625" style="100" customWidth="1"/>
    <col min="7168" max="7168" width="11.28515625" style="100" customWidth="1"/>
    <col min="7169" max="7169" width="13.5703125" style="100" customWidth="1"/>
    <col min="7170" max="7170" width="15" style="100" customWidth="1"/>
    <col min="7171" max="7171" width="21.28515625" style="100" customWidth="1"/>
    <col min="7172" max="7175" width="18.140625" style="100" customWidth="1"/>
    <col min="7176" max="7421" width="9.140625" style="100"/>
    <col min="7422" max="7422" width="43.7109375" style="100" customWidth="1"/>
    <col min="7423" max="7423" width="13.140625" style="100" customWidth="1"/>
    <col min="7424" max="7424" width="11.28515625" style="100" customWidth="1"/>
    <col min="7425" max="7425" width="13.5703125" style="100" customWidth="1"/>
    <col min="7426" max="7426" width="15" style="100" customWidth="1"/>
    <col min="7427" max="7427" width="21.28515625" style="100" customWidth="1"/>
    <col min="7428" max="7431" width="18.140625" style="100" customWidth="1"/>
    <col min="7432" max="7677" width="9.140625" style="100"/>
    <col min="7678" max="7678" width="43.7109375" style="100" customWidth="1"/>
    <col min="7679" max="7679" width="13.140625" style="100" customWidth="1"/>
    <col min="7680" max="7680" width="11.28515625" style="100" customWidth="1"/>
    <col min="7681" max="7681" width="13.5703125" style="100" customWidth="1"/>
    <col min="7682" max="7682" width="15" style="100" customWidth="1"/>
    <col min="7683" max="7683" width="21.28515625" style="100" customWidth="1"/>
    <col min="7684" max="7687" width="18.140625" style="100" customWidth="1"/>
    <col min="7688" max="7933" width="9.140625" style="100"/>
    <col min="7934" max="7934" width="43.7109375" style="100" customWidth="1"/>
    <col min="7935" max="7935" width="13.140625" style="100" customWidth="1"/>
    <col min="7936" max="7936" width="11.28515625" style="100" customWidth="1"/>
    <col min="7937" max="7937" width="13.5703125" style="100" customWidth="1"/>
    <col min="7938" max="7938" width="15" style="100" customWidth="1"/>
    <col min="7939" max="7939" width="21.28515625" style="100" customWidth="1"/>
    <col min="7940" max="7943" width="18.140625" style="100" customWidth="1"/>
    <col min="7944" max="8189" width="9.140625" style="100"/>
    <col min="8190" max="8190" width="43.7109375" style="100" customWidth="1"/>
    <col min="8191" max="8191" width="13.140625" style="100" customWidth="1"/>
    <col min="8192" max="8192" width="11.28515625" style="100" customWidth="1"/>
    <col min="8193" max="8193" width="13.5703125" style="100" customWidth="1"/>
    <col min="8194" max="8194" width="15" style="100" customWidth="1"/>
    <col min="8195" max="8195" width="21.28515625" style="100" customWidth="1"/>
    <col min="8196" max="8199" width="18.140625" style="100" customWidth="1"/>
    <col min="8200" max="8445" width="9.140625" style="100"/>
    <col min="8446" max="8446" width="43.7109375" style="100" customWidth="1"/>
    <col min="8447" max="8447" width="13.140625" style="100" customWidth="1"/>
    <col min="8448" max="8448" width="11.28515625" style="100" customWidth="1"/>
    <col min="8449" max="8449" width="13.5703125" style="100" customWidth="1"/>
    <col min="8450" max="8450" width="15" style="100" customWidth="1"/>
    <col min="8451" max="8451" width="21.28515625" style="100" customWidth="1"/>
    <col min="8452" max="8455" width="18.140625" style="100" customWidth="1"/>
    <col min="8456" max="8701" width="9.140625" style="100"/>
    <col min="8702" max="8702" width="43.7109375" style="100" customWidth="1"/>
    <col min="8703" max="8703" width="13.140625" style="100" customWidth="1"/>
    <col min="8704" max="8704" width="11.28515625" style="100" customWidth="1"/>
    <col min="8705" max="8705" width="13.5703125" style="100" customWidth="1"/>
    <col min="8706" max="8706" width="15" style="100" customWidth="1"/>
    <col min="8707" max="8707" width="21.28515625" style="100" customWidth="1"/>
    <col min="8708" max="8711" width="18.140625" style="100" customWidth="1"/>
    <col min="8712" max="8957" width="9.140625" style="100"/>
    <col min="8958" max="8958" width="43.7109375" style="100" customWidth="1"/>
    <col min="8959" max="8959" width="13.140625" style="100" customWidth="1"/>
    <col min="8960" max="8960" width="11.28515625" style="100" customWidth="1"/>
    <col min="8961" max="8961" width="13.5703125" style="100" customWidth="1"/>
    <col min="8962" max="8962" width="15" style="100" customWidth="1"/>
    <col min="8963" max="8963" width="21.28515625" style="100" customWidth="1"/>
    <col min="8964" max="8967" width="18.140625" style="100" customWidth="1"/>
    <col min="8968" max="9213" width="9.140625" style="100"/>
    <col min="9214" max="9214" width="43.7109375" style="100" customWidth="1"/>
    <col min="9215" max="9215" width="13.140625" style="100" customWidth="1"/>
    <col min="9216" max="9216" width="11.28515625" style="100" customWidth="1"/>
    <col min="9217" max="9217" width="13.5703125" style="100" customWidth="1"/>
    <col min="9218" max="9218" width="15" style="100" customWidth="1"/>
    <col min="9219" max="9219" width="21.28515625" style="100" customWidth="1"/>
    <col min="9220" max="9223" width="18.140625" style="100" customWidth="1"/>
    <col min="9224" max="9469" width="9.140625" style="100"/>
    <col min="9470" max="9470" width="43.7109375" style="100" customWidth="1"/>
    <col min="9471" max="9471" width="13.140625" style="100" customWidth="1"/>
    <col min="9472" max="9472" width="11.28515625" style="100" customWidth="1"/>
    <col min="9473" max="9473" width="13.5703125" style="100" customWidth="1"/>
    <col min="9474" max="9474" width="15" style="100" customWidth="1"/>
    <col min="9475" max="9475" width="21.28515625" style="100" customWidth="1"/>
    <col min="9476" max="9479" width="18.140625" style="100" customWidth="1"/>
    <col min="9480" max="9725" width="9.140625" style="100"/>
    <col min="9726" max="9726" width="43.7109375" style="100" customWidth="1"/>
    <col min="9727" max="9727" width="13.140625" style="100" customWidth="1"/>
    <col min="9728" max="9728" width="11.28515625" style="100" customWidth="1"/>
    <col min="9729" max="9729" width="13.5703125" style="100" customWidth="1"/>
    <col min="9730" max="9730" width="15" style="100" customWidth="1"/>
    <col min="9731" max="9731" width="21.28515625" style="100" customWidth="1"/>
    <col min="9732" max="9735" width="18.140625" style="100" customWidth="1"/>
    <col min="9736" max="9981" width="9.140625" style="100"/>
    <col min="9982" max="9982" width="43.7109375" style="100" customWidth="1"/>
    <col min="9983" max="9983" width="13.140625" style="100" customWidth="1"/>
    <col min="9984" max="9984" width="11.28515625" style="100" customWidth="1"/>
    <col min="9985" max="9985" width="13.5703125" style="100" customWidth="1"/>
    <col min="9986" max="9986" width="15" style="100" customWidth="1"/>
    <col min="9987" max="9987" width="21.28515625" style="100" customWidth="1"/>
    <col min="9988" max="9991" width="18.140625" style="100" customWidth="1"/>
    <col min="9992" max="10237" width="9.140625" style="100"/>
    <col min="10238" max="10238" width="43.7109375" style="100" customWidth="1"/>
    <col min="10239" max="10239" width="13.140625" style="100" customWidth="1"/>
    <col min="10240" max="10240" width="11.28515625" style="100" customWidth="1"/>
    <col min="10241" max="10241" width="13.5703125" style="100" customWidth="1"/>
    <col min="10242" max="10242" width="15" style="100" customWidth="1"/>
    <col min="10243" max="10243" width="21.28515625" style="100" customWidth="1"/>
    <col min="10244" max="10247" width="18.140625" style="100" customWidth="1"/>
    <col min="10248" max="10493" width="9.140625" style="100"/>
    <col min="10494" max="10494" width="43.7109375" style="100" customWidth="1"/>
    <col min="10495" max="10495" width="13.140625" style="100" customWidth="1"/>
    <col min="10496" max="10496" width="11.28515625" style="100" customWidth="1"/>
    <col min="10497" max="10497" width="13.5703125" style="100" customWidth="1"/>
    <col min="10498" max="10498" width="15" style="100" customWidth="1"/>
    <col min="10499" max="10499" width="21.28515625" style="100" customWidth="1"/>
    <col min="10500" max="10503" width="18.140625" style="100" customWidth="1"/>
    <col min="10504" max="10749" width="9.140625" style="100"/>
    <col min="10750" max="10750" width="43.7109375" style="100" customWidth="1"/>
    <col min="10751" max="10751" width="13.140625" style="100" customWidth="1"/>
    <col min="10752" max="10752" width="11.28515625" style="100" customWidth="1"/>
    <col min="10753" max="10753" width="13.5703125" style="100" customWidth="1"/>
    <col min="10754" max="10754" width="15" style="100" customWidth="1"/>
    <col min="10755" max="10755" width="21.28515625" style="100" customWidth="1"/>
    <col min="10756" max="10759" width="18.140625" style="100" customWidth="1"/>
    <col min="10760" max="11005" width="9.140625" style="100"/>
    <col min="11006" max="11006" width="43.7109375" style="100" customWidth="1"/>
    <col min="11007" max="11007" width="13.140625" style="100" customWidth="1"/>
    <col min="11008" max="11008" width="11.28515625" style="100" customWidth="1"/>
    <col min="11009" max="11009" width="13.5703125" style="100" customWidth="1"/>
    <col min="11010" max="11010" width="15" style="100" customWidth="1"/>
    <col min="11011" max="11011" width="21.28515625" style="100" customWidth="1"/>
    <col min="11012" max="11015" width="18.140625" style="100" customWidth="1"/>
    <col min="11016" max="11261" width="9.140625" style="100"/>
    <col min="11262" max="11262" width="43.7109375" style="100" customWidth="1"/>
    <col min="11263" max="11263" width="13.140625" style="100" customWidth="1"/>
    <col min="11264" max="11264" width="11.28515625" style="100" customWidth="1"/>
    <col min="11265" max="11265" width="13.5703125" style="100" customWidth="1"/>
    <col min="11266" max="11266" width="15" style="100" customWidth="1"/>
    <col min="11267" max="11267" width="21.28515625" style="100" customWidth="1"/>
    <col min="11268" max="11271" width="18.140625" style="100" customWidth="1"/>
    <col min="11272" max="11517" width="9.140625" style="100"/>
    <col min="11518" max="11518" width="43.7109375" style="100" customWidth="1"/>
    <col min="11519" max="11519" width="13.140625" style="100" customWidth="1"/>
    <col min="11520" max="11520" width="11.28515625" style="100" customWidth="1"/>
    <col min="11521" max="11521" width="13.5703125" style="100" customWidth="1"/>
    <col min="11522" max="11522" width="15" style="100" customWidth="1"/>
    <col min="11523" max="11523" width="21.28515625" style="100" customWidth="1"/>
    <col min="11524" max="11527" width="18.140625" style="100" customWidth="1"/>
    <col min="11528" max="11773" width="9.140625" style="100"/>
    <col min="11774" max="11774" width="43.7109375" style="100" customWidth="1"/>
    <col min="11775" max="11775" width="13.140625" style="100" customWidth="1"/>
    <col min="11776" max="11776" width="11.28515625" style="100" customWidth="1"/>
    <col min="11777" max="11777" width="13.5703125" style="100" customWidth="1"/>
    <col min="11778" max="11778" width="15" style="100" customWidth="1"/>
    <col min="11779" max="11779" width="21.28515625" style="100" customWidth="1"/>
    <col min="11780" max="11783" width="18.140625" style="100" customWidth="1"/>
    <col min="11784" max="12029" width="9.140625" style="100"/>
    <col min="12030" max="12030" width="43.7109375" style="100" customWidth="1"/>
    <col min="12031" max="12031" width="13.140625" style="100" customWidth="1"/>
    <col min="12032" max="12032" width="11.28515625" style="100" customWidth="1"/>
    <col min="12033" max="12033" width="13.5703125" style="100" customWidth="1"/>
    <col min="12034" max="12034" width="15" style="100" customWidth="1"/>
    <col min="12035" max="12035" width="21.28515625" style="100" customWidth="1"/>
    <col min="12036" max="12039" width="18.140625" style="100" customWidth="1"/>
    <col min="12040" max="12285" width="9.140625" style="100"/>
    <col min="12286" max="12286" width="43.7109375" style="100" customWidth="1"/>
    <col min="12287" max="12287" width="13.140625" style="100" customWidth="1"/>
    <col min="12288" max="12288" width="11.28515625" style="100" customWidth="1"/>
    <col min="12289" max="12289" width="13.5703125" style="100" customWidth="1"/>
    <col min="12290" max="12290" width="15" style="100" customWidth="1"/>
    <col min="12291" max="12291" width="21.28515625" style="100" customWidth="1"/>
    <col min="12292" max="12295" width="18.140625" style="100" customWidth="1"/>
    <col min="12296" max="12541" width="9.140625" style="100"/>
    <col min="12542" max="12542" width="43.7109375" style="100" customWidth="1"/>
    <col min="12543" max="12543" width="13.140625" style="100" customWidth="1"/>
    <col min="12544" max="12544" width="11.28515625" style="100" customWidth="1"/>
    <col min="12545" max="12545" width="13.5703125" style="100" customWidth="1"/>
    <col min="12546" max="12546" width="15" style="100" customWidth="1"/>
    <col min="12547" max="12547" width="21.28515625" style="100" customWidth="1"/>
    <col min="12548" max="12551" width="18.140625" style="100" customWidth="1"/>
    <col min="12552" max="12797" width="9.140625" style="100"/>
    <col min="12798" max="12798" width="43.7109375" style="100" customWidth="1"/>
    <col min="12799" max="12799" width="13.140625" style="100" customWidth="1"/>
    <col min="12800" max="12800" width="11.28515625" style="100" customWidth="1"/>
    <col min="12801" max="12801" width="13.5703125" style="100" customWidth="1"/>
    <col min="12802" max="12802" width="15" style="100" customWidth="1"/>
    <col min="12803" max="12803" width="21.28515625" style="100" customWidth="1"/>
    <col min="12804" max="12807" width="18.140625" style="100" customWidth="1"/>
    <col min="12808" max="13053" width="9.140625" style="100"/>
    <col min="13054" max="13054" width="43.7109375" style="100" customWidth="1"/>
    <col min="13055" max="13055" width="13.140625" style="100" customWidth="1"/>
    <col min="13056" max="13056" width="11.28515625" style="100" customWidth="1"/>
    <col min="13057" max="13057" width="13.5703125" style="100" customWidth="1"/>
    <col min="13058" max="13058" width="15" style="100" customWidth="1"/>
    <col min="13059" max="13059" width="21.28515625" style="100" customWidth="1"/>
    <col min="13060" max="13063" width="18.140625" style="100" customWidth="1"/>
    <col min="13064" max="13309" width="9.140625" style="100"/>
    <col min="13310" max="13310" width="43.7109375" style="100" customWidth="1"/>
    <col min="13311" max="13311" width="13.140625" style="100" customWidth="1"/>
    <col min="13312" max="13312" width="11.28515625" style="100" customWidth="1"/>
    <col min="13313" max="13313" width="13.5703125" style="100" customWidth="1"/>
    <col min="13314" max="13314" width="15" style="100" customWidth="1"/>
    <col min="13315" max="13315" width="21.28515625" style="100" customWidth="1"/>
    <col min="13316" max="13319" width="18.140625" style="100" customWidth="1"/>
    <col min="13320" max="13565" width="9.140625" style="100"/>
    <col min="13566" max="13566" width="43.7109375" style="100" customWidth="1"/>
    <col min="13567" max="13567" width="13.140625" style="100" customWidth="1"/>
    <col min="13568" max="13568" width="11.28515625" style="100" customWidth="1"/>
    <col min="13569" max="13569" width="13.5703125" style="100" customWidth="1"/>
    <col min="13570" max="13570" width="15" style="100" customWidth="1"/>
    <col min="13571" max="13571" width="21.28515625" style="100" customWidth="1"/>
    <col min="13572" max="13575" width="18.140625" style="100" customWidth="1"/>
    <col min="13576" max="13821" width="9.140625" style="100"/>
    <col min="13822" max="13822" width="43.7109375" style="100" customWidth="1"/>
    <col min="13823" max="13823" width="13.140625" style="100" customWidth="1"/>
    <col min="13824" max="13824" width="11.28515625" style="100" customWidth="1"/>
    <col min="13825" max="13825" width="13.5703125" style="100" customWidth="1"/>
    <col min="13826" max="13826" width="15" style="100" customWidth="1"/>
    <col min="13827" max="13827" width="21.28515625" style="100" customWidth="1"/>
    <col min="13828" max="13831" width="18.140625" style="100" customWidth="1"/>
    <col min="13832" max="14077" width="9.140625" style="100"/>
    <col min="14078" max="14078" width="43.7109375" style="100" customWidth="1"/>
    <col min="14079" max="14079" width="13.140625" style="100" customWidth="1"/>
    <col min="14080" max="14080" width="11.28515625" style="100" customWidth="1"/>
    <col min="14081" max="14081" width="13.5703125" style="100" customWidth="1"/>
    <col min="14082" max="14082" width="15" style="100" customWidth="1"/>
    <col min="14083" max="14083" width="21.28515625" style="100" customWidth="1"/>
    <col min="14084" max="14087" width="18.140625" style="100" customWidth="1"/>
    <col min="14088" max="14333" width="9.140625" style="100"/>
    <col min="14334" max="14334" width="43.7109375" style="100" customWidth="1"/>
    <col min="14335" max="14335" width="13.140625" style="100" customWidth="1"/>
    <col min="14336" max="14336" width="11.28515625" style="100" customWidth="1"/>
    <col min="14337" max="14337" width="13.5703125" style="100" customWidth="1"/>
    <col min="14338" max="14338" width="15" style="100" customWidth="1"/>
    <col min="14339" max="14339" width="21.28515625" style="100" customWidth="1"/>
    <col min="14340" max="14343" width="18.140625" style="100" customWidth="1"/>
    <col min="14344" max="14589" width="9.140625" style="100"/>
    <col min="14590" max="14590" width="43.7109375" style="100" customWidth="1"/>
    <col min="14591" max="14591" width="13.140625" style="100" customWidth="1"/>
    <col min="14592" max="14592" width="11.28515625" style="100" customWidth="1"/>
    <col min="14593" max="14593" width="13.5703125" style="100" customWidth="1"/>
    <col min="14594" max="14594" width="15" style="100" customWidth="1"/>
    <col min="14595" max="14595" width="21.28515625" style="100" customWidth="1"/>
    <col min="14596" max="14599" width="18.140625" style="100" customWidth="1"/>
    <col min="14600" max="14845" width="9.140625" style="100"/>
    <col min="14846" max="14846" width="43.7109375" style="100" customWidth="1"/>
    <col min="14847" max="14847" width="13.140625" style="100" customWidth="1"/>
    <col min="14848" max="14848" width="11.28515625" style="100" customWidth="1"/>
    <col min="14849" max="14849" width="13.5703125" style="100" customWidth="1"/>
    <col min="14850" max="14850" width="15" style="100" customWidth="1"/>
    <col min="14851" max="14851" width="21.28515625" style="100" customWidth="1"/>
    <col min="14852" max="14855" width="18.140625" style="100" customWidth="1"/>
    <col min="14856" max="15101" width="9.140625" style="100"/>
    <col min="15102" max="15102" width="43.7109375" style="100" customWidth="1"/>
    <col min="15103" max="15103" width="13.140625" style="100" customWidth="1"/>
    <col min="15104" max="15104" width="11.28515625" style="100" customWidth="1"/>
    <col min="15105" max="15105" width="13.5703125" style="100" customWidth="1"/>
    <col min="15106" max="15106" width="15" style="100" customWidth="1"/>
    <col min="15107" max="15107" width="21.28515625" style="100" customWidth="1"/>
    <col min="15108" max="15111" width="18.140625" style="100" customWidth="1"/>
    <col min="15112" max="15357" width="9.140625" style="100"/>
    <col min="15358" max="15358" width="43.7109375" style="100" customWidth="1"/>
    <col min="15359" max="15359" width="13.140625" style="100" customWidth="1"/>
    <col min="15360" max="15360" width="11.28515625" style="100" customWidth="1"/>
    <col min="15361" max="15361" width="13.5703125" style="100" customWidth="1"/>
    <col min="15362" max="15362" width="15" style="100" customWidth="1"/>
    <col min="15363" max="15363" width="21.28515625" style="100" customWidth="1"/>
    <col min="15364" max="15367" width="18.140625" style="100" customWidth="1"/>
    <col min="15368" max="15613" width="9.140625" style="100"/>
    <col min="15614" max="15614" width="43.7109375" style="100" customWidth="1"/>
    <col min="15615" max="15615" width="13.140625" style="100" customWidth="1"/>
    <col min="15616" max="15616" width="11.28515625" style="100" customWidth="1"/>
    <col min="15617" max="15617" width="13.5703125" style="100" customWidth="1"/>
    <col min="15618" max="15618" width="15" style="100" customWidth="1"/>
    <col min="15619" max="15619" width="21.28515625" style="100" customWidth="1"/>
    <col min="15620" max="15623" width="18.140625" style="100" customWidth="1"/>
    <col min="15624" max="15869" width="9.140625" style="100"/>
    <col min="15870" max="15870" width="43.7109375" style="100" customWidth="1"/>
    <col min="15871" max="15871" width="13.140625" style="100" customWidth="1"/>
    <col min="15872" max="15872" width="11.28515625" style="100" customWidth="1"/>
    <col min="15873" max="15873" width="13.5703125" style="100" customWidth="1"/>
    <col min="15874" max="15874" width="15" style="100" customWidth="1"/>
    <col min="15875" max="15875" width="21.28515625" style="100" customWidth="1"/>
    <col min="15876" max="15879" width="18.140625" style="100" customWidth="1"/>
    <col min="15880" max="16125" width="9.140625" style="100"/>
    <col min="16126" max="16126" width="43.7109375" style="100" customWidth="1"/>
    <col min="16127" max="16127" width="13.140625" style="100" customWidth="1"/>
    <col min="16128" max="16128" width="11.28515625" style="100" customWidth="1"/>
    <col min="16129" max="16129" width="13.5703125" style="100" customWidth="1"/>
    <col min="16130" max="16130" width="15" style="100" customWidth="1"/>
    <col min="16131" max="16131" width="21.28515625" style="100" customWidth="1"/>
    <col min="16132" max="16135" width="18.140625" style="100" customWidth="1"/>
    <col min="16136" max="16384" width="9.140625" style="100"/>
  </cols>
  <sheetData>
    <row r="1" spans="1:19" ht="67.5" customHeight="1" x14ac:dyDescent="0.2">
      <c r="A1" s="171" t="s">
        <v>174</v>
      </c>
      <c r="B1" s="171" t="s">
        <v>506</v>
      </c>
      <c r="C1" s="172" t="s">
        <v>322</v>
      </c>
      <c r="D1" s="173" t="s">
        <v>323</v>
      </c>
      <c r="E1" s="171" t="s">
        <v>397</v>
      </c>
      <c r="F1" s="171" t="s">
        <v>325</v>
      </c>
      <c r="G1" s="171" t="s">
        <v>326</v>
      </c>
      <c r="H1" s="162"/>
    </row>
    <row r="2" spans="1:19" ht="18.75" customHeight="1" x14ac:dyDescent="0.2">
      <c r="A2" s="174">
        <v>1</v>
      </c>
      <c r="B2" s="175" t="s">
        <v>472</v>
      </c>
      <c r="C2" s="175" t="s">
        <v>176</v>
      </c>
      <c r="D2" s="176">
        <v>2</v>
      </c>
      <c r="E2" s="176" t="s">
        <v>328</v>
      </c>
      <c r="F2" s="191">
        <v>337.81</v>
      </c>
      <c r="G2" s="191">
        <f>F2*D2</f>
        <v>675.62</v>
      </c>
      <c r="H2" s="177"/>
    </row>
    <row r="3" spans="1:19" ht="18.75" customHeight="1" x14ac:dyDescent="0.2">
      <c r="A3" s="174">
        <v>2</v>
      </c>
      <c r="B3" s="175" t="s">
        <v>177</v>
      </c>
      <c r="C3" s="175" t="s">
        <v>176</v>
      </c>
      <c r="D3" s="176">
        <v>10</v>
      </c>
      <c r="E3" s="176" t="s">
        <v>327</v>
      </c>
      <c r="F3" s="179">
        <v>84.67</v>
      </c>
      <c r="G3" s="179">
        <f t="shared" ref="G3:G9" si="0">F3*D3</f>
        <v>846.7</v>
      </c>
      <c r="H3" s="177"/>
    </row>
    <row r="4" spans="1:19" ht="18.75" customHeight="1" x14ac:dyDescent="0.2">
      <c r="A4" s="174">
        <v>3</v>
      </c>
      <c r="B4" s="175" t="s">
        <v>492</v>
      </c>
      <c r="C4" s="175" t="s">
        <v>176</v>
      </c>
      <c r="D4" s="176">
        <v>2</v>
      </c>
      <c r="E4" s="176" t="s">
        <v>329</v>
      </c>
      <c r="F4" s="179">
        <v>1997.39</v>
      </c>
      <c r="G4" s="179">
        <f t="shared" si="0"/>
        <v>3994.78</v>
      </c>
      <c r="H4" s="177"/>
    </row>
    <row r="5" spans="1:19" ht="18.75" customHeight="1" x14ac:dyDescent="0.2">
      <c r="A5" s="174">
        <v>4</v>
      </c>
      <c r="B5" s="175" t="s">
        <v>491</v>
      </c>
      <c r="C5" s="175" t="s">
        <v>176</v>
      </c>
      <c r="D5" s="176">
        <v>4</v>
      </c>
      <c r="E5" s="176" t="s">
        <v>329</v>
      </c>
      <c r="F5" s="179">
        <v>405.58</v>
      </c>
      <c r="G5" s="179">
        <f t="shared" si="0"/>
        <v>1622.32</v>
      </c>
      <c r="H5" s="177"/>
    </row>
    <row r="6" spans="1:19" ht="18.75" customHeight="1" x14ac:dyDescent="0.2">
      <c r="A6" s="174">
        <v>5</v>
      </c>
      <c r="B6" s="175" t="s">
        <v>494</v>
      </c>
      <c r="C6" s="175" t="s">
        <v>176</v>
      </c>
      <c r="D6" s="176">
        <v>8</v>
      </c>
      <c r="E6" s="176" t="s">
        <v>493</v>
      </c>
      <c r="F6" s="179">
        <v>1052.5</v>
      </c>
      <c r="G6" s="179">
        <f t="shared" si="0"/>
        <v>8420</v>
      </c>
      <c r="H6" s="177"/>
    </row>
    <row r="7" spans="1:19" ht="18.75" customHeight="1" x14ac:dyDescent="0.2">
      <c r="A7" s="174">
        <v>6</v>
      </c>
      <c r="B7" s="175" t="s">
        <v>495</v>
      </c>
      <c r="C7" s="175" t="s">
        <v>176</v>
      </c>
      <c r="D7" s="176">
        <v>4</v>
      </c>
      <c r="E7" s="176" t="s">
        <v>493</v>
      </c>
      <c r="F7" s="179">
        <v>1176.67</v>
      </c>
      <c r="G7" s="179">
        <f t="shared" si="0"/>
        <v>4706.68</v>
      </c>
      <c r="H7" s="177"/>
    </row>
    <row r="8" spans="1:19" ht="18.75" customHeight="1" x14ac:dyDescent="0.2">
      <c r="A8" s="174">
        <v>7</v>
      </c>
      <c r="B8" s="175" t="s">
        <v>496</v>
      </c>
      <c r="C8" s="175" t="s">
        <v>176</v>
      </c>
      <c r="D8" s="176">
        <v>2</v>
      </c>
      <c r="E8" s="176" t="s">
        <v>493</v>
      </c>
      <c r="F8" s="179">
        <v>1102.95</v>
      </c>
      <c r="G8" s="179">
        <f t="shared" si="0"/>
        <v>2205.9</v>
      </c>
      <c r="H8" s="177"/>
    </row>
    <row r="9" spans="1:19" ht="24.75" customHeight="1" x14ac:dyDescent="0.2">
      <c r="A9" s="174">
        <v>8</v>
      </c>
      <c r="B9" s="175" t="s">
        <v>179</v>
      </c>
      <c r="C9" s="175" t="s">
        <v>176</v>
      </c>
      <c r="D9" s="176">
        <v>3</v>
      </c>
      <c r="E9" s="176" t="s">
        <v>330</v>
      </c>
      <c r="F9" s="179">
        <v>185.4</v>
      </c>
      <c r="G9" s="179">
        <f t="shared" si="0"/>
        <v>556.20000000000005</v>
      </c>
      <c r="H9" s="177"/>
    </row>
    <row r="10" spans="1:19" ht="20.25" customHeight="1" x14ac:dyDescent="0.2">
      <c r="A10" s="174">
        <v>9</v>
      </c>
      <c r="B10" s="175" t="s">
        <v>471</v>
      </c>
      <c r="C10" s="175" t="s">
        <v>176</v>
      </c>
      <c r="D10" s="176">
        <v>2</v>
      </c>
      <c r="E10" s="176" t="s">
        <v>332</v>
      </c>
      <c r="F10" s="179">
        <v>1444.03</v>
      </c>
      <c r="G10" s="179">
        <f>F10*D10</f>
        <v>2888.06</v>
      </c>
      <c r="H10" s="177"/>
    </row>
    <row r="11" spans="1:19" ht="20.25" customHeight="1" x14ac:dyDescent="0.2">
      <c r="A11" s="174">
        <v>10</v>
      </c>
      <c r="B11" s="175" t="s">
        <v>181</v>
      </c>
      <c r="C11" s="175" t="s">
        <v>176</v>
      </c>
      <c r="D11" s="176">
        <v>1</v>
      </c>
      <c r="E11" s="176" t="s">
        <v>332</v>
      </c>
      <c r="F11" s="179">
        <v>180</v>
      </c>
      <c r="G11" s="179">
        <f>F11*D11</f>
        <v>180</v>
      </c>
      <c r="H11" s="177"/>
    </row>
    <row r="12" spans="1:19" ht="26.25" customHeight="1" x14ac:dyDescent="0.2">
      <c r="A12" s="174">
        <v>11</v>
      </c>
      <c r="B12" s="175" t="s">
        <v>499</v>
      </c>
      <c r="C12" s="175" t="s">
        <v>176</v>
      </c>
      <c r="D12" s="176">
        <v>5</v>
      </c>
      <c r="E12" s="176" t="s">
        <v>327</v>
      </c>
      <c r="F12" s="179">
        <v>188.23</v>
      </c>
      <c r="G12" s="179">
        <f>D12*F12</f>
        <v>941.15</v>
      </c>
      <c r="H12" s="177"/>
    </row>
    <row r="13" spans="1:19" ht="20.25" customHeight="1" x14ac:dyDescent="0.2">
      <c r="A13" s="174">
        <v>12</v>
      </c>
      <c r="B13" s="175" t="s">
        <v>182</v>
      </c>
      <c r="C13" s="175" t="s">
        <v>176</v>
      </c>
      <c r="D13" s="176">
        <v>5</v>
      </c>
      <c r="E13" s="176" t="s">
        <v>329</v>
      </c>
      <c r="F13" s="179">
        <v>241.83</v>
      </c>
      <c r="G13" s="179">
        <f>F13*D13</f>
        <v>1209.1500000000001</v>
      </c>
      <c r="H13" s="177"/>
    </row>
    <row r="14" spans="1:19" ht="21" customHeight="1" x14ac:dyDescent="0.2">
      <c r="A14" s="406" t="s">
        <v>175</v>
      </c>
      <c r="B14" s="406"/>
      <c r="C14" s="406"/>
      <c r="D14" s="406"/>
      <c r="E14" s="406"/>
      <c r="F14" s="406"/>
      <c r="G14" s="180">
        <f>SUM(G2:G13)</f>
        <v>28246.560000000001</v>
      </c>
      <c r="H14" s="181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</row>
    <row r="15" spans="1:19" ht="21" customHeight="1" x14ac:dyDescent="0.2">
      <c r="A15" s="406" t="s">
        <v>333</v>
      </c>
      <c r="B15" s="406"/>
      <c r="C15" s="406"/>
      <c r="D15" s="406"/>
      <c r="E15" s="406"/>
      <c r="F15" s="406"/>
      <c r="G15" s="180">
        <f>G14/60</f>
        <v>470.78</v>
      </c>
    </row>
    <row r="16" spans="1:19" x14ac:dyDescent="0.2">
      <c r="A16" s="406" t="s">
        <v>334</v>
      </c>
      <c r="B16" s="406"/>
      <c r="C16" s="406"/>
      <c r="D16" s="406"/>
      <c r="E16" s="406"/>
      <c r="F16" s="406"/>
      <c r="G16" s="180">
        <f>G15/('Quadro Efetivo'!H15+'Quadro Efetivo'!I15+'Quadro Efetivo'!L15)</f>
        <v>5.6</v>
      </c>
    </row>
    <row r="18" spans="1:18" x14ac:dyDescent="0.25">
      <c r="H18" s="181"/>
      <c r="I18" s="181"/>
      <c r="J18" s="181"/>
    </row>
    <row r="19" spans="1:18" x14ac:dyDescent="0.25">
      <c r="A19" s="409" t="s">
        <v>335</v>
      </c>
      <c r="B19" s="409"/>
      <c r="C19" s="409"/>
      <c r="D19" s="409"/>
      <c r="E19" s="409"/>
      <c r="F19" s="409"/>
      <c r="G19" s="409"/>
    </row>
    <row r="20" spans="1:18" ht="30" x14ac:dyDescent="0.2">
      <c r="A20" s="184" t="s">
        <v>336</v>
      </c>
      <c r="B20" s="410" t="s">
        <v>337</v>
      </c>
      <c r="C20" s="411"/>
      <c r="D20" s="184" t="s">
        <v>338</v>
      </c>
      <c r="E20" s="184" t="s">
        <v>339</v>
      </c>
      <c r="F20" s="184" t="s">
        <v>340</v>
      </c>
      <c r="G20" s="184" t="s">
        <v>341</v>
      </c>
    </row>
    <row r="21" spans="1:18" x14ac:dyDescent="0.25">
      <c r="A21" s="146">
        <v>1</v>
      </c>
      <c r="B21" s="412" t="s">
        <v>342</v>
      </c>
      <c r="C21" s="412"/>
      <c r="D21" s="175" t="s">
        <v>176</v>
      </c>
      <c r="E21" s="146">
        <v>2</v>
      </c>
      <c r="F21" s="185">
        <v>10572.84</v>
      </c>
      <c r="G21" s="186">
        <f>E21*F21</f>
        <v>21145.68</v>
      </c>
      <c r="H21" s="187"/>
      <c r="I21" s="96"/>
      <c r="J21" s="96"/>
      <c r="K21" s="96"/>
      <c r="L21" s="96"/>
      <c r="M21" s="96"/>
      <c r="N21" s="96"/>
      <c r="O21" s="96"/>
      <c r="P21" s="96"/>
      <c r="Q21" s="96"/>
      <c r="R21" s="96"/>
    </row>
    <row r="22" spans="1:18" x14ac:dyDescent="0.25">
      <c r="A22" s="408" t="s">
        <v>89</v>
      </c>
      <c r="B22" s="408"/>
      <c r="C22" s="408"/>
      <c r="D22" s="408"/>
      <c r="E22" s="408"/>
      <c r="F22" s="408"/>
      <c r="G22" s="188">
        <f>SUM(G21:G21)</f>
        <v>21145.68</v>
      </c>
      <c r="H22" s="181"/>
      <c r="I22" s="96"/>
      <c r="J22" s="96"/>
      <c r="K22" s="96"/>
      <c r="L22" s="96"/>
      <c r="M22" s="96"/>
      <c r="N22" s="96"/>
      <c r="O22" s="96"/>
      <c r="P22" s="96"/>
      <c r="Q22" s="96"/>
      <c r="R22" s="96"/>
    </row>
    <row r="23" spans="1:18" x14ac:dyDescent="0.25">
      <c r="A23" s="408" t="s">
        <v>343</v>
      </c>
      <c r="B23" s="408"/>
      <c r="C23" s="408"/>
      <c r="D23" s="408"/>
      <c r="E23" s="408"/>
      <c r="F23" s="408"/>
      <c r="G23" s="188">
        <f>G22/60</f>
        <v>352.43</v>
      </c>
    </row>
    <row r="24" spans="1:18" x14ac:dyDescent="0.25">
      <c r="A24" s="408" t="s">
        <v>344</v>
      </c>
      <c r="B24" s="408"/>
      <c r="C24" s="408"/>
      <c r="D24" s="408"/>
      <c r="E24" s="408"/>
      <c r="F24" s="408"/>
      <c r="G24" s="188">
        <f>G23/'Quadro Efetivo'!L15</f>
        <v>4.46</v>
      </c>
    </row>
    <row r="25" spans="1:18" x14ac:dyDescent="0.25">
      <c r="A25" s="147"/>
    </row>
    <row r="27" spans="1:18" x14ac:dyDescent="0.2">
      <c r="B27" s="170" t="s">
        <v>402</v>
      </c>
      <c r="C27" s="162"/>
      <c r="D27" s="162"/>
      <c r="E27" s="162"/>
      <c r="F27" s="189"/>
      <c r="G27" s="181"/>
      <c r="H27" s="190"/>
      <c r="I27" s="190"/>
      <c r="J27" s="181"/>
    </row>
    <row r="28" spans="1:18" ht="25.5" x14ac:dyDescent="0.2">
      <c r="A28" s="171" t="s">
        <v>174</v>
      </c>
      <c r="B28" s="171" t="s">
        <v>487</v>
      </c>
      <c r="C28" s="172" t="s">
        <v>322</v>
      </c>
      <c r="D28" s="173" t="s">
        <v>323</v>
      </c>
      <c r="E28" s="171" t="s">
        <v>397</v>
      </c>
      <c r="F28" s="171" t="s">
        <v>325</v>
      </c>
      <c r="G28" s="171" t="s">
        <v>326</v>
      </c>
      <c r="H28" s="161"/>
    </row>
    <row r="29" spans="1:18" x14ac:dyDescent="0.2">
      <c r="A29" s="174">
        <v>1</v>
      </c>
      <c r="B29" s="175" t="s">
        <v>417</v>
      </c>
      <c r="C29" s="175" t="s">
        <v>176</v>
      </c>
      <c r="D29" s="176">
        <v>5</v>
      </c>
      <c r="E29" s="176" t="s">
        <v>327</v>
      </c>
      <c r="F29" s="191">
        <v>13.11</v>
      </c>
      <c r="G29" s="191">
        <f t="shared" ref="G29:G38" si="1">F29*D29</f>
        <v>65.55</v>
      </c>
      <c r="H29" s="192"/>
    </row>
    <row r="30" spans="1:18" x14ac:dyDescent="0.2">
      <c r="A30" s="174">
        <v>3</v>
      </c>
      <c r="B30" s="175" t="s">
        <v>416</v>
      </c>
      <c r="C30" s="175" t="s">
        <v>176</v>
      </c>
      <c r="D30" s="176">
        <v>4</v>
      </c>
      <c r="E30" s="176" t="s">
        <v>327</v>
      </c>
      <c r="F30" s="179">
        <v>22.53</v>
      </c>
      <c r="G30" s="179">
        <f t="shared" si="1"/>
        <v>90.12</v>
      </c>
      <c r="H30" s="192"/>
    </row>
    <row r="31" spans="1:18" x14ac:dyDescent="0.2">
      <c r="A31" s="174">
        <v>4</v>
      </c>
      <c r="B31" s="175" t="s">
        <v>178</v>
      </c>
      <c r="C31" s="175" t="s">
        <v>176</v>
      </c>
      <c r="D31" s="176">
        <v>5</v>
      </c>
      <c r="E31" s="176" t="s">
        <v>327</v>
      </c>
      <c r="F31" s="179">
        <v>23.11</v>
      </c>
      <c r="G31" s="179">
        <f t="shared" si="1"/>
        <v>115.55</v>
      </c>
      <c r="H31" s="192"/>
    </row>
    <row r="32" spans="1:18" x14ac:dyDescent="0.2">
      <c r="A32" s="174">
        <v>5</v>
      </c>
      <c r="B32" s="175" t="s">
        <v>415</v>
      </c>
      <c r="C32" s="175" t="s">
        <v>176</v>
      </c>
      <c r="D32" s="176">
        <v>3</v>
      </c>
      <c r="E32" s="176" t="s">
        <v>327</v>
      </c>
      <c r="F32" s="179">
        <v>16.5</v>
      </c>
      <c r="G32" s="179">
        <f t="shared" si="1"/>
        <v>49.5</v>
      </c>
      <c r="H32" s="192"/>
    </row>
    <row r="33" spans="1:18" ht="25.5" x14ac:dyDescent="0.2">
      <c r="A33" s="174">
        <v>6</v>
      </c>
      <c r="B33" s="175" t="s">
        <v>428</v>
      </c>
      <c r="C33" s="175" t="s">
        <v>176</v>
      </c>
      <c r="D33" s="176">
        <v>1</v>
      </c>
      <c r="E33" s="176" t="s">
        <v>429</v>
      </c>
      <c r="F33" s="179">
        <v>609.48</v>
      </c>
      <c r="G33" s="179">
        <f t="shared" si="1"/>
        <v>609.48</v>
      </c>
      <c r="H33" s="192"/>
    </row>
    <row r="34" spans="1:18" ht="25.5" x14ac:dyDescent="0.2">
      <c r="A34" s="174">
        <v>7</v>
      </c>
      <c r="B34" s="175" t="s">
        <v>403</v>
      </c>
      <c r="C34" s="175" t="s">
        <v>176</v>
      </c>
      <c r="D34" s="176">
        <v>3</v>
      </c>
      <c r="E34" s="176" t="s">
        <v>327</v>
      </c>
      <c r="F34" s="179">
        <v>4.25</v>
      </c>
      <c r="G34" s="179">
        <f t="shared" si="1"/>
        <v>12.75</v>
      </c>
      <c r="H34" s="192"/>
    </row>
    <row r="35" spans="1:18" x14ac:dyDescent="0.2">
      <c r="A35" s="174">
        <v>8</v>
      </c>
      <c r="B35" s="175" t="s">
        <v>183</v>
      </c>
      <c r="C35" s="175" t="s">
        <v>176</v>
      </c>
      <c r="D35" s="176">
        <v>5</v>
      </c>
      <c r="E35" s="176" t="s">
        <v>327</v>
      </c>
      <c r="F35" s="179">
        <v>14.33</v>
      </c>
      <c r="G35" s="179">
        <f t="shared" si="1"/>
        <v>71.650000000000006</v>
      </c>
      <c r="H35" s="192"/>
    </row>
    <row r="36" spans="1:18" x14ac:dyDescent="0.2">
      <c r="A36" s="174">
        <v>9</v>
      </c>
      <c r="B36" s="175" t="s">
        <v>413</v>
      </c>
      <c r="C36" s="175" t="s">
        <v>176</v>
      </c>
      <c r="D36" s="176">
        <v>5</v>
      </c>
      <c r="E36" s="176" t="s">
        <v>327</v>
      </c>
      <c r="F36" s="179">
        <v>14.92</v>
      </c>
      <c r="G36" s="179">
        <f t="shared" si="1"/>
        <v>74.599999999999994</v>
      </c>
      <c r="H36" s="192"/>
    </row>
    <row r="37" spans="1:18" x14ac:dyDescent="0.2">
      <c r="A37" s="174">
        <v>10</v>
      </c>
      <c r="B37" s="175" t="s">
        <v>414</v>
      </c>
      <c r="C37" s="175" t="s">
        <v>176</v>
      </c>
      <c r="D37" s="176">
        <v>2</v>
      </c>
      <c r="E37" s="176" t="s">
        <v>327</v>
      </c>
      <c r="F37" s="179">
        <v>21.9</v>
      </c>
      <c r="G37" s="179">
        <f t="shared" si="1"/>
        <v>43.8</v>
      </c>
      <c r="H37" s="192"/>
    </row>
    <row r="38" spans="1:18" x14ac:dyDescent="0.2">
      <c r="A38" s="174">
        <v>11</v>
      </c>
      <c r="B38" s="175" t="s">
        <v>457</v>
      </c>
      <c r="C38" s="175" t="s">
        <v>176</v>
      </c>
      <c r="D38" s="176">
        <v>2</v>
      </c>
      <c r="E38" s="176" t="s">
        <v>327</v>
      </c>
      <c r="F38" s="179">
        <v>18.77</v>
      </c>
      <c r="G38" s="179">
        <f t="shared" si="1"/>
        <v>37.54</v>
      </c>
      <c r="H38" s="192"/>
    </row>
    <row r="39" spans="1:18" x14ac:dyDescent="0.2">
      <c r="A39" s="174">
        <v>12</v>
      </c>
      <c r="B39" s="175" t="s">
        <v>184</v>
      </c>
      <c r="C39" s="175" t="s">
        <v>176</v>
      </c>
      <c r="D39" s="176">
        <v>2</v>
      </c>
      <c r="E39" s="176" t="s">
        <v>327</v>
      </c>
      <c r="F39" s="179">
        <v>39.08</v>
      </c>
      <c r="G39" s="179">
        <f>F39*D39</f>
        <v>78.16</v>
      </c>
      <c r="H39" s="192"/>
    </row>
    <row r="40" spans="1:18" x14ac:dyDescent="0.2">
      <c r="A40" s="174">
        <v>13</v>
      </c>
      <c r="B40" s="175" t="s">
        <v>469</v>
      </c>
      <c r="C40" s="175" t="s">
        <v>176</v>
      </c>
      <c r="D40" s="176">
        <v>2</v>
      </c>
      <c r="E40" s="176" t="s">
        <v>458</v>
      </c>
      <c r="F40" s="179">
        <v>9</v>
      </c>
      <c r="G40" s="179">
        <f>D40*F40</f>
        <v>18</v>
      </c>
      <c r="H40" s="192"/>
    </row>
    <row r="41" spans="1:18" x14ac:dyDescent="0.2">
      <c r="A41" s="174">
        <v>14</v>
      </c>
      <c r="B41" s="175" t="s">
        <v>427</v>
      </c>
      <c r="C41" s="175" t="s">
        <v>176</v>
      </c>
      <c r="D41" s="176">
        <v>2</v>
      </c>
      <c r="E41" s="176" t="s">
        <v>327</v>
      </c>
      <c r="F41" s="179">
        <v>24.16</v>
      </c>
      <c r="G41" s="179">
        <f>F41*D41</f>
        <v>48.32</v>
      </c>
      <c r="H41" s="192"/>
    </row>
    <row r="42" spans="1:18" x14ac:dyDescent="0.2">
      <c r="A42" s="406" t="s">
        <v>175</v>
      </c>
      <c r="B42" s="406"/>
      <c r="C42" s="406"/>
      <c r="D42" s="406"/>
      <c r="E42" s="406"/>
      <c r="F42" s="406"/>
      <c r="G42" s="180">
        <f>SUM(G29:G41)</f>
        <v>1315.02</v>
      </c>
    </row>
    <row r="43" spans="1:18" x14ac:dyDescent="0.2">
      <c r="A43" s="406" t="s">
        <v>333</v>
      </c>
      <c r="B43" s="406"/>
      <c r="C43" s="406"/>
      <c r="D43" s="406"/>
      <c r="E43" s="406"/>
      <c r="F43" s="406"/>
      <c r="G43" s="180">
        <f>G42/60</f>
        <v>21.92</v>
      </c>
      <c r="H43" s="181"/>
      <c r="I43" s="96"/>
      <c r="J43" s="96"/>
      <c r="K43" s="96"/>
      <c r="L43" s="96"/>
      <c r="M43" s="96"/>
      <c r="N43" s="96"/>
      <c r="O43" s="96"/>
      <c r="P43" s="96"/>
      <c r="Q43" s="96"/>
      <c r="R43" s="96"/>
    </row>
    <row r="44" spans="1:18" x14ac:dyDescent="0.2">
      <c r="A44" s="406" t="s">
        <v>334</v>
      </c>
      <c r="B44" s="406"/>
      <c r="C44" s="406"/>
      <c r="D44" s="406"/>
      <c r="E44" s="406"/>
      <c r="F44" s="406"/>
      <c r="G44" s="180">
        <f>G43</f>
        <v>21.92</v>
      </c>
    </row>
    <row r="48" spans="1:18" ht="25.5" x14ac:dyDescent="0.2">
      <c r="A48" s="171" t="s">
        <v>174</v>
      </c>
      <c r="B48" s="293" t="s">
        <v>486</v>
      </c>
      <c r="C48" s="172" t="s">
        <v>322</v>
      </c>
      <c r="D48" s="173" t="s">
        <v>323</v>
      </c>
      <c r="E48" s="171" t="s">
        <v>397</v>
      </c>
      <c r="F48" s="171" t="s">
        <v>325</v>
      </c>
      <c r="G48" s="171" t="s">
        <v>326</v>
      </c>
    </row>
    <row r="49" spans="1:10" x14ac:dyDescent="0.2">
      <c r="A49" s="174">
        <v>1</v>
      </c>
      <c r="B49" s="175" t="s">
        <v>180</v>
      </c>
      <c r="C49" s="175" t="s">
        <v>176</v>
      </c>
      <c r="D49" s="176">
        <v>2</v>
      </c>
      <c r="E49" s="176" t="s">
        <v>331</v>
      </c>
      <c r="F49" s="179">
        <v>92.67</v>
      </c>
      <c r="G49" s="179">
        <f>F49*D49</f>
        <v>185.34</v>
      </c>
      <c r="H49" s="192"/>
      <c r="I49" s="193"/>
      <c r="J49" s="193"/>
    </row>
    <row r="50" spans="1:10" x14ac:dyDescent="0.2">
      <c r="A50" s="174">
        <v>2</v>
      </c>
      <c r="B50" s="175" t="s">
        <v>179</v>
      </c>
      <c r="C50" s="175" t="s">
        <v>176</v>
      </c>
      <c r="D50" s="176">
        <v>1</v>
      </c>
      <c r="E50" s="176" t="s">
        <v>330</v>
      </c>
      <c r="F50" s="179">
        <v>191.75</v>
      </c>
      <c r="G50" s="179">
        <f t="shared" ref="G50" si="2">F50*D50</f>
        <v>191.75</v>
      </c>
    </row>
    <row r="51" spans="1:10" x14ac:dyDescent="0.2">
      <c r="A51" s="406" t="s">
        <v>175</v>
      </c>
      <c r="B51" s="406"/>
      <c r="C51" s="406"/>
      <c r="D51" s="406"/>
      <c r="E51" s="406"/>
      <c r="F51" s="406"/>
      <c r="G51" s="180">
        <f>SUM(G49:G50)</f>
        <v>377.09</v>
      </c>
    </row>
    <row r="52" spans="1:10" s="96" customFormat="1" x14ac:dyDescent="0.2">
      <c r="A52" s="407" t="s">
        <v>333</v>
      </c>
      <c r="B52" s="407"/>
      <c r="C52" s="407"/>
      <c r="D52" s="407"/>
      <c r="E52" s="407"/>
      <c r="F52" s="407"/>
      <c r="G52" s="180">
        <f>G51/60</f>
        <v>6.28</v>
      </c>
      <c r="H52" s="181"/>
    </row>
    <row r="53" spans="1:10" x14ac:dyDescent="0.2">
      <c r="A53" s="406" t="s">
        <v>488</v>
      </c>
      <c r="B53" s="406"/>
      <c r="C53" s="406"/>
      <c r="D53" s="406"/>
      <c r="E53" s="406"/>
      <c r="F53" s="406"/>
      <c r="G53" s="180">
        <f>G52</f>
        <v>6.28</v>
      </c>
    </row>
  </sheetData>
  <mergeCells count="15">
    <mergeCell ref="A14:F14"/>
    <mergeCell ref="A15:F15"/>
    <mergeCell ref="A22:F22"/>
    <mergeCell ref="A23:F23"/>
    <mergeCell ref="A24:F24"/>
    <mergeCell ref="A16:F16"/>
    <mergeCell ref="A19:G19"/>
    <mergeCell ref="B20:C20"/>
    <mergeCell ref="B21:C21"/>
    <mergeCell ref="A51:F51"/>
    <mergeCell ref="A52:F52"/>
    <mergeCell ref="A53:F53"/>
    <mergeCell ref="A42:F42"/>
    <mergeCell ref="A43:F43"/>
    <mergeCell ref="A44:F44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showGridLines="0" topLeftCell="O1" workbookViewId="0">
      <selection activeCell="W16" sqref="W16"/>
    </sheetView>
  </sheetViews>
  <sheetFormatPr defaultRowHeight="15" x14ac:dyDescent="0.25"/>
  <cols>
    <col min="1" max="1" width="47.7109375" style="108" customWidth="1"/>
    <col min="2" max="2" width="12.7109375" style="108" customWidth="1"/>
    <col min="3" max="3" width="14.42578125" style="108" bestFit="1" customWidth="1"/>
    <col min="4" max="4" width="4.42578125" style="108" customWidth="1"/>
    <col min="5" max="5" width="47.7109375" style="111" customWidth="1"/>
    <col min="6" max="6" width="14.42578125" style="111" customWidth="1"/>
    <col min="7" max="7" width="14.42578125" style="111" bestFit="1" customWidth="1"/>
    <col min="8" max="8" width="4.42578125" style="108" customWidth="1"/>
    <col min="9" max="9" width="47.7109375" style="108" customWidth="1"/>
    <col min="10" max="10" width="14.140625" style="108" customWidth="1"/>
    <col min="11" max="11" width="14.28515625" style="183" customWidth="1"/>
    <col min="12" max="12" width="9.140625" style="108"/>
    <col min="13" max="13" width="35.28515625" style="108" customWidth="1"/>
    <col min="14" max="14" width="18.85546875" style="108" customWidth="1"/>
    <col min="15" max="15" width="19" style="108" customWidth="1"/>
    <col min="16" max="16" width="9.140625" style="108"/>
    <col min="17" max="17" width="31.42578125" style="108" customWidth="1"/>
    <col min="18" max="18" width="15.42578125" style="108" customWidth="1"/>
    <col min="19" max="19" width="12" style="108" customWidth="1"/>
    <col min="20" max="20" width="9.140625" style="108"/>
    <col min="21" max="21" width="32.28515625" style="108" customWidth="1"/>
    <col min="22" max="22" width="14.140625" style="108" customWidth="1"/>
    <col min="23" max="23" width="11.85546875" style="108" customWidth="1"/>
    <col min="24" max="238" width="9.140625" style="108"/>
    <col min="239" max="239" width="23.28515625" style="108" customWidth="1"/>
    <col min="240" max="240" width="12.7109375" style="108" customWidth="1"/>
    <col min="241" max="241" width="14.42578125" style="108" bestFit="1" customWidth="1"/>
    <col min="242" max="242" width="14" style="108" customWidth="1"/>
    <col min="243" max="243" width="14.42578125" style="108" bestFit="1" customWidth="1"/>
    <col min="244" max="244" width="14" style="108" customWidth="1"/>
    <col min="245" max="245" width="14" style="108" bestFit="1" customWidth="1"/>
    <col min="246" max="246" width="13.140625" style="108" customWidth="1"/>
    <col min="247" max="247" width="14.42578125" style="108" bestFit="1" customWidth="1"/>
    <col min="248" max="248" width="4.42578125" style="108" customWidth="1"/>
    <col min="249" max="249" width="17.5703125" style="108" customWidth="1"/>
    <col min="250" max="250" width="14.42578125" style="108" customWidth="1"/>
    <col min="251" max="251" width="14.42578125" style="108" bestFit="1" customWidth="1"/>
    <col min="252" max="252" width="14" style="108" customWidth="1"/>
    <col min="253" max="253" width="13.85546875" style="108" customWidth="1"/>
    <col min="254" max="254" width="14" style="108" customWidth="1"/>
    <col min="255" max="257" width="13.85546875" style="108" customWidth="1"/>
    <col min="258" max="258" width="4.42578125" style="108" customWidth="1"/>
    <col min="259" max="259" width="27.140625" style="108" customWidth="1"/>
    <col min="260" max="260" width="14.140625" style="108" customWidth="1"/>
    <col min="261" max="261" width="14.28515625" style="108" customWidth="1"/>
    <col min="262" max="262" width="14" style="108" customWidth="1"/>
    <col min="263" max="263" width="13.85546875" style="108" customWidth="1"/>
    <col min="264" max="264" width="14" style="108" customWidth="1"/>
    <col min="265" max="265" width="13.85546875" style="108" customWidth="1"/>
    <col min="266" max="266" width="16.7109375" style="108" customWidth="1"/>
    <col min="267" max="267" width="17" style="108" customWidth="1"/>
    <col min="268" max="494" width="9.140625" style="108"/>
    <col min="495" max="495" width="23.28515625" style="108" customWidth="1"/>
    <col min="496" max="496" width="12.7109375" style="108" customWidth="1"/>
    <col min="497" max="497" width="14.42578125" style="108" bestFit="1" customWidth="1"/>
    <col min="498" max="498" width="14" style="108" customWidth="1"/>
    <col min="499" max="499" width="14.42578125" style="108" bestFit="1" customWidth="1"/>
    <col min="500" max="500" width="14" style="108" customWidth="1"/>
    <col min="501" max="501" width="14" style="108" bestFit="1" customWidth="1"/>
    <col min="502" max="502" width="13.140625" style="108" customWidth="1"/>
    <col min="503" max="503" width="14.42578125" style="108" bestFit="1" customWidth="1"/>
    <col min="504" max="504" width="4.42578125" style="108" customWidth="1"/>
    <col min="505" max="505" width="17.5703125" style="108" customWidth="1"/>
    <col min="506" max="506" width="14.42578125" style="108" customWidth="1"/>
    <col min="507" max="507" width="14.42578125" style="108" bestFit="1" customWidth="1"/>
    <col min="508" max="508" width="14" style="108" customWidth="1"/>
    <col min="509" max="509" width="13.85546875" style="108" customWidth="1"/>
    <col min="510" max="510" width="14" style="108" customWidth="1"/>
    <col min="511" max="513" width="13.85546875" style="108" customWidth="1"/>
    <col min="514" max="514" width="4.42578125" style="108" customWidth="1"/>
    <col min="515" max="515" width="27.140625" style="108" customWidth="1"/>
    <col min="516" max="516" width="14.140625" style="108" customWidth="1"/>
    <col min="517" max="517" width="14.28515625" style="108" customWidth="1"/>
    <col min="518" max="518" width="14" style="108" customWidth="1"/>
    <col min="519" max="519" width="13.85546875" style="108" customWidth="1"/>
    <col min="520" max="520" width="14" style="108" customWidth="1"/>
    <col min="521" max="521" width="13.85546875" style="108" customWidth="1"/>
    <col min="522" max="522" width="16.7109375" style="108" customWidth="1"/>
    <col min="523" max="523" width="17" style="108" customWidth="1"/>
    <col min="524" max="750" width="9.140625" style="108"/>
    <col min="751" max="751" width="23.28515625" style="108" customWidth="1"/>
    <col min="752" max="752" width="12.7109375" style="108" customWidth="1"/>
    <col min="753" max="753" width="14.42578125" style="108" bestFit="1" customWidth="1"/>
    <col min="754" max="754" width="14" style="108" customWidth="1"/>
    <col min="755" max="755" width="14.42578125" style="108" bestFit="1" customWidth="1"/>
    <col min="756" max="756" width="14" style="108" customWidth="1"/>
    <col min="757" max="757" width="14" style="108" bestFit="1" customWidth="1"/>
    <col min="758" max="758" width="13.140625" style="108" customWidth="1"/>
    <col min="759" max="759" width="14.42578125" style="108" bestFit="1" customWidth="1"/>
    <col min="760" max="760" width="4.42578125" style="108" customWidth="1"/>
    <col min="761" max="761" width="17.5703125" style="108" customWidth="1"/>
    <col min="762" max="762" width="14.42578125" style="108" customWidth="1"/>
    <col min="763" max="763" width="14.42578125" style="108" bestFit="1" customWidth="1"/>
    <col min="764" max="764" width="14" style="108" customWidth="1"/>
    <col min="765" max="765" width="13.85546875" style="108" customWidth="1"/>
    <col min="766" max="766" width="14" style="108" customWidth="1"/>
    <col min="767" max="769" width="13.85546875" style="108" customWidth="1"/>
    <col min="770" max="770" width="4.42578125" style="108" customWidth="1"/>
    <col min="771" max="771" width="27.140625" style="108" customWidth="1"/>
    <col min="772" max="772" width="14.140625" style="108" customWidth="1"/>
    <col min="773" max="773" width="14.28515625" style="108" customWidth="1"/>
    <col min="774" max="774" width="14" style="108" customWidth="1"/>
    <col min="775" max="775" width="13.85546875" style="108" customWidth="1"/>
    <col min="776" max="776" width="14" style="108" customWidth="1"/>
    <col min="777" max="777" width="13.85546875" style="108" customWidth="1"/>
    <col min="778" max="778" width="16.7109375" style="108" customWidth="1"/>
    <col min="779" max="779" width="17" style="108" customWidth="1"/>
    <col min="780" max="1006" width="9.140625" style="108"/>
    <col min="1007" max="1007" width="23.28515625" style="108" customWidth="1"/>
    <col min="1008" max="1008" width="12.7109375" style="108" customWidth="1"/>
    <col min="1009" max="1009" width="14.42578125" style="108" bestFit="1" customWidth="1"/>
    <col min="1010" max="1010" width="14" style="108" customWidth="1"/>
    <col min="1011" max="1011" width="14.42578125" style="108" bestFit="1" customWidth="1"/>
    <col min="1012" max="1012" width="14" style="108" customWidth="1"/>
    <col min="1013" max="1013" width="14" style="108" bestFit="1" customWidth="1"/>
    <col min="1014" max="1014" width="13.140625" style="108" customWidth="1"/>
    <col min="1015" max="1015" width="14.42578125" style="108" bestFit="1" customWidth="1"/>
    <col min="1016" max="1016" width="4.42578125" style="108" customWidth="1"/>
    <col min="1017" max="1017" width="17.5703125" style="108" customWidth="1"/>
    <col min="1018" max="1018" width="14.42578125" style="108" customWidth="1"/>
    <col min="1019" max="1019" width="14.42578125" style="108" bestFit="1" customWidth="1"/>
    <col min="1020" max="1020" width="14" style="108" customWidth="1"/>
    <col min="1021" max="1021" width="13.85546875" style="108" customWidth="1"/>
    <col min="1022" max="1022" width="14" style="108" customWidth="1"/>
    <col min="1023" max="1025" width="13.85546875" style="108" customWidth="1"/>
    <col min="1026" max="1026" width="4.42578125" style="108" customWidth="1"/>
    <col min="1027" max="1027" width="27.140625" style="108" customWidth="1"/>
    <col min="1028" max="1028" width="14.140625" style="108" customWidth="1"/>
    <col min="1029" max="1029" width="14.28515625" style="108" customWidth="1"/>
    <col min="1030" max="1030" width="14" style="108" customWidth="1"/>
    <col min="1031" max="1031" width="13.85546875" style="108" customWidth="1"/>
    <col min="1032" max="1032" width="14" style="108" customWidth="1"/>
    <col min="1033" max="1033" width="13.85546875" style="108" customWidth="1"/>
    <col min="1034" max="1034" width="16.7109375" style="108" customWidth="1"/>
    <col min="1035" max="1035" width="17" style="108" customWidth="1"/>
    <col min="1036" max="1262" width="9.140625" style="108"/>
    <col min="1263" max="1263" width="23.28515625" style="108" customWidth="1"/>
    <col min="1264" max="1264" width="12.7109375" style="108" customWidth="1"/>
    <col min="1265" max="1265" width="14.42578125" style="108" bestFit="1" customWidth="1"/>
    <col min="1266" max="1266" width="14" style="108" customWidth="1"/>
    <col min="1267" max="1267" width="14.42578125" style="108" bestFit="1" customWidth="1"/>
    <col min="1268" max="1268" width="14" style="108" customWidth="1"/>
    <col min="1269" max="1269" width="14" style="108" bestFit="1" customWidth="1"/>
    <col min="1270" max="1270" width="13.140625" style="108" customWidth="1"/>
    <col min="1271" max="1271" width="14.42578125" style="108" bestFit="1" customWidth="1"/>
    <col min="1272" max="1272" width="4.42578125" style="108" customWidth="1"/>
    <col min="1273" max="1273" width="17.5703125" style="108" customWidth="1"/>
    <col min="1274" max="1274" width="14.42578125" style="108" customWidth="1"/>
    <col min="1275" max="1275" width="14.42578125" style="108" bestFit="1" customWidth="1"/>
    <col min="1276" max="1276" width="14" style="108" customWidth="1"/>
    <col min="1277" max="1277" width="13.85546875" style="108" customWidth="1"/>
    <col min="1278" max="1278" width="14" style="108" customWidth="1"/>
    <col min="1279" max="1281" width="13.85546875" style="108" customWidth="1"/>
    <col min="1282" max="1282" width="4.42578125" style="108" customWidth="1"/>
    <col min="1283" max="1283" width="27.140625" style="108" customWidth="1"/>
    <col min="1284" max="1284" width="14.140625" style="108" customWidth="1"/>
    <col min="1285" max="1285" width="14.28515625" style="108" customWidth="1"/>
    <col min="1286" max="1286" width="14" style="108" customWidth="1"/>
    <col min="1287" max="1287" width="13.85546875" style="108" customWidth="1"/>
    <col min="1288" max="1288" width="14" style="108" customWidth="1"/>
    <col min="1289" max="1289" width="13.85546875" style="108" customWidth="1"/>
    <col min="1290" max="1290" width="16.7109375" style="108" customWidth="1"/>
    <col min="1291" max="1291" width="17" style="108" customWidth="1"/>
    <col min="1292" max="1518" width="9.140625" style="108"/>
    <col min="1519" max="1519" width="23.28515625" style="108" customWidth="1"/>
    <col min="1520" max="1520" width="12.7109375" style="108" customWidth="1"/>
    <col min="1521" max="1521" width="14.42578125" style="108" bestFit="1" customWidth="1"/>
    <col min="1522" max="1522" width="14" style="108" customWidth="1"/>
    <col min="1523" max="1523" width="14.42578125" style="108" bestFit="1" customWidth="1"/>
    <col min="1524" max="1524" width="14" style="108" customWidth="1"/>
    <col min="1525" max="1525" width="14" style="108" bestFit="1" customWidth="1"/>
    <col min="1526" max="1526" width="13.140625" style="108" customWidth="1"/>
    <col min="1527" max="1527" width="14.42578125" style="108" bestFit="1" customWidth="1"/>
    <col min="1528" max="1528" width="4.42578125" style="108" customWidth="1"/>
    <col min="1529" max="1529" width="17.5703125" style="108" customWidth="1"/>
    <col min="1530" max="1530" width="14.42578125" style="108" customWidth="1"/>
    <col min="1531" max="1531" width="14.42578125" style="108" bestFit="1" customWidth="1"/>
    <col min="1532" max="1532" width="14" style="108" customWidth="1"/>
    <col min="1533" max="1533" width="13.85546875" style="108" customWidth="1"/>
    <col min="1534" max="1534" width="14" style="108" customWidth="1"/>
    <col min="1535" max="1537" width="13.85546875" style="108" customWidth="1"/>
    <col min="1538" max="1538" width="4.42578125" style="108" customWidth="1"/>
    <col min="1539" max="1539" width="27.140625" style="108" customWidth="1"/>
    <col min="1540" max="1540" width="14.140625" style="108" customWidth="1"/>
    <col min="1541" max="1541" width="14.28515625" style="108" customWidth="1"/>
    <col min="1542" max="1542" width="14" style="108" customWidth="1"/>
    <col min="1543" max="1543" width="13.85546875" style="108" customWidth="1"/>
    <col min="1544" max="1544" width="14" style="108" customWidth="1"/>
    <col min="1545" max="1545" width="13.85546875" style="108" customWidth="1"/>
    <col min="1546" max="1546" width="16.7109375" style="108" customWidth="1"/>
    <col min="1547" max="1547" width="17" style="108" customWidth="1"/>
    <col min="1548" max="1774" width="9.140625" style="108"/>
    <col min="1775" max="1775" width="23.28515625" style="108" customWidth="1"/>
    <col min="1776" max="1776" width="12.7109375" style="108" customWidth="1"/>
    <col min="1777" max="1777" width="14.42578125" style="108" bestFit="1" customWidth="1"/>
    <col min="1778" max="1778" width="14" style="108" customWidth="1"/>
    <col min="1779" max="1779" width="14.42578125" style="108" bestFit="1" customWidth="1"/>
    <col min="1780" max="1780" width="14" style="108" customWidth="1"/>
    <col min="1781" max="1781" width="14" style="108" bestFit="1" customWidth="1"/>
    <col min="1782" max="1782" width="13.140625" style="108" customWidth="1"/>
    <col min="1783" max="1783" width="14.42578125" style="108" bestFit="1" customWidth="1"/>
    <col min="1784" max="1784" width="4.42578125" style="108" customWidth="1"/>
    <col min="1785" max="1785" width="17.5703125" style="108" customWidth="1"/>
    <col min="1786" max="1786" width="14.42578125" style="108" customWidth="1"/>
    <col min="1787" max="1787" width="14.42578125" style="108" bestFit="1" customWidth="1"/>
    <col min="1788" max="1788" width="14" style="108" customWidth="1"/>
    <col min="1789" max="1789" width="13.85546875" style="108" customWidth="1"/>
    <col min="1790" max="1790" width="14" style="108" customWidth="1"/>
    <col min="1791" max="1793" width="13.85546875" style="108" customWidth="1"/>
    <col min="1794" max="1794" width="4.42578125" style="108" customWidth="1"/>
    <col min="1795" max="1795" width="27.140625" style="108" customWidth="1"/>
    <col min="1796" max="1796" width="14.140625" style="108" customWidth="1"/>
    <col min="1797" max="1797" width="14.28515625" style="108" customWidth="1"/>
    <col min="1798" max="1798" width="14" style="108" customWidth="1"/>
    <col min="1799" max="1799" width="13.85546875" style="108" customWidth="1"/>
    <col min="1800" max="1800" width="14" style="108" customWidth="1"/>
    <col min="1801" max="1801" width="13.85546875" style="108" customWidth="1"/>
    <col min="1802" max="1802" width="16.7109375" style="108" customWidth="1"/>
    <col min="1803" max="1803" width="17" style="108" customWidth="1"/>
    <col min="1804" max="2030" width="9.140625" style="108"/>
    <col min="2031" max="2031" width="23.28515625" style="108" customWidth="1"/>
    <col min="2032" max="2032" width="12.7109375" style="108" customWidth="1"/>
    <col min="2033" max="2033" width="14.42578125" style="108" bestFit="1" customWidth="1"/>
    <col min="2034" max="2034" width="14" style="108" customWidth="1"/>
    <col min="2035" max="2035" width="14.42578125" style="108" bestFit="1" customWidth="1"/>
    <col min="2036" max="2036" width="14" style="108" customWidth="1"/>
    <col min="2037" max="2037" width="14" style="108" bestFit="1" customWidth="1"/>
    <col min="2038" max="2038" width="13.140625" style="108" customWidth="1"/>
    <col min="2039" max="2039" width="14.42578125" style="108" bestFit="1" customWidth="1"/>
    <col min="2040" max="2040" width="4.42578125" style="108" customWidth="1"/>
    <col min="2041" max="2041" width="17.5703125" style="108" customWidth="1"/>
    <col min="2042" max="2042" width="14.42578125" style="108" customWidth="1"/>
    <col min="2043" max="2043" width="14.42578125" style="108" bestFit="1" customWidth="1"/>
    <col min="2044" max="2044" width="14" style="108" customWidth="1"/>
    <col min="2045" max="2045" width="13.85546875" style="108" customWidth="1"/>
    <col min="2046" max="2046" width="14" style="108" customWidth="1"/>
    <col min="2047" max="2049" width="13.85546875" style="108" customWidth="1"/>
    <col min="2050" max="2050" width="4.42578125" style="108" customWidth="1"/>
    <col min="2051" max="2051" width="27.140625" style="108" customWidth="1"/>
    <col min="2052" max="2052" width="14.140625" style="108" customWidth="1"/>
    <col min="2053" max="2053" width="14.28515625" style="108" customWidth="1"/>
    <col min="2054" max="2054" width="14" style="108" customWidth="1"/>
    <col min="2055" max="2055" width="13.85546875" style="108" customWidth="1"/>
    <col min="2056" max="2056" width="14" style="108" customWidth="1"/>
    <col min="2057" max="2057" width="13.85546875" style="108" customWidth="1"/>
    <col min="2058" max="2058" width="16.7109375" style="108" customWidth="1"/>
    <col min="2059" max="2059" width="17" style="108" customWidth="1"/>
    <col min="2060" max="2286" width="9.140625" style="108"/>
    <col min="2287" max="2287" width="23.28515625" style="108" customWidth="1"/>
    <col min="2288" max="2288" width="12.7109375" style="108" customWidth="1"/>
    <col min="2289" max="2289" width="14.42578125" style="108" bestFit="1" customWidth="1"/>
    <col min="2290" max="2290" width="14" style="108" customWidth="1"/>
    <col min="2291" max="2291" width="14.42578125" style="108" bestFit="1" customWidth="1"/>
    <col min="2292" max="2292" width="14" style="108" customWidth="1"/>
    <col min="2293" max="2293" width="14" style="108" bestFit="1" customWidth="1"/>
    <col min="2294" max="2294" width="13.140625" style="108" customWidth="1"/>
    <col min="2295" max="2295" width="14.42578125" style="108" bestFit="1" customWidth="1"/>
    <col min="2296" max="2296" width="4.42578125" style="108" customWidth="1"/>
    <col min="2297" max="2297" width="17.5703125" style="108" customWidth="1"/>
    <col min="2298" max="2298" width="14.42578125" style="108" customWidth="1"/>
    <col min="2299" max="2299" width="14.42578125" style="108" bestFit="1" customWidth="1"/>
    <col min="2300" max="2300" width="14" style="108" customWidth="1"/>
    <col min="2301" max="2301" width="13.85546875" style="108" customWidth="1"/>
    <col min="2302" max="2302" width="14" style="108" customWidth="1"/>
    <col min="2303" max="2305" width="13.85546875" style="108" customWidth="1"/>
    <col min="2306" max="2306" width="4.42578125" style="108" customWidth="1"/>
    <col min="2307" max="2307" width="27.140625" style="108" customWidth="1"/>
    <col min="2308" max="2308" width="14.140625" style="108" customWidth="1"/>
    <col min="2309" max="2309" width="14.28515625" style="108" customWidth="1"/>
    <col min="2310" max="2310" width="14" style="108" customWidth="1"/>
    <col min="2311" max="2311" width="13.85546875" style="108" customWidth="1"/>
    <col min="2312" max="2312" width="14" style="108" customWidth="1"/>
    <col min="2313" max="2313" width="13.85546875" style="108" customWidth="1"/>
    <col min="2314" max="2314" width="16.7109375" style="108" customWidth="1"/>
    <col min="2315" max="2315" width="17" style="108" customWidth="1"/>
    <col min="2316" max="2542" width="9.140625" style="108"/>
    <col min="2543" max="2543" width="23.28515625" style="108" customWidth="1"/>
    <col min="2544" max="2544" width="12.7109375" style="108" customWidth="1"/>
    <col min="2545" max="2545" width="14.42578125" style="108" bestFit="1" customWidth="1"/>
    <col min="2546" max="2546" width="14" style="108" customWidth="1"/>
    <col min="2547" max="2547" width="14.42578125" style="108" bestFit="1" customWidth="1"/>
    <col min="2548" max="2548" width="14" style="108" customWidth="1"/>
    <col min="2549" max="2549" width="14" style="108" bestFit="1" customWidth="1"/>
    <col min="2550" max="2550" width="13.140625" style="108" customWidth="1"/>
    <col min="2551" max="2551" width="14.42578125" style="108" bestFit="1" customWidth="1"/>
    <col min="2552" max="2552" width="4.42578125" style="108" customWidth="1"/>
    <col min="2553" max="2553" width="17.5703125" style="108" customWidth="1"/>
    <col min="2554" max="2554" width="14.42578125" style="108" customWidth="1"/>
    <col min="2555" max="2555" width="14.42578125" style="108" bestFit="1" customWidth="1"/>
    <col min="2556" max="2556" width="14" style="108" customWidth="1"/>
    <col min="2557" max="2557" width="13.85546875" style="108" customWidth="1"/>
    <col min="2558" max="2558" width="14" style="108" customWidth="1"/>
    <col min="2559" max="2561" width="13.85546875" style="108" customWidth="1"/>
    <col min="2562" max="2562" width="4.42578125" style="108" customWidth="1"/>
    <col min="2563" max="2563" width="27.140625" style="108" customWidth="1"/>
    <col min="2564" max="2564" width="14.140625" style="108" customWidth="1"/>
    <col min="2565" max="2565" width="14.28515625" style="108" customWidth="1"/>
    <col min="2566" max="2566" width="14" style="108" customWidth="1"/>
    <col min="2567" max="2567" width="13.85546875" style="108" customWidth="1"/>
    <col min="2568" max="2568" width="14" style="108" customWidth="1"/>
    <col min="2569" max="2569" width="13.85546875" style="108" customWidth="1"/>
    <col min="2570" max="2570" width="16.7109375" style="108" customWidth="1"/>
    <col min="2571" max="2571" width="17" style="108" customWidth="1"/>
    <col min="2572" max="2798" width="9.140625" style="108"/>
    <col min="2799" max="2799" width="23.28515625" style="108" customWidth="1"/>
    <col min="2800" max="2800" width="12.7109375" style="108" customWidth="1"/>
    <col min="2801" max="2801" width="14.42578125" style="108" bestFit="1" customWidth="1"/>
    <col min="2802" max="2802" width="14" style="108" customWidth="1"/>
    <col min="2803" max="2803" width="14.42578125" style="108" bestFit="1" customWidth="1"/>
    <col min="2804" max="2804" width="14" style="108" customWidth="1"/>
    <col min="2805" max="2805" width="14" style="108" bestFit="1" customWidth="1"/>
    <col min="2806" max="2806" width="13.140625" style="108" customWidth="1"/>
    <col min="2807" max="2807" width="14.42578125" style="108" bestFit="1" customWidth="1"/>
    <col min="2808" max="2808" width="4.42578125" style="108" customWidth="1"/>
    <col min="2809" max="2809" width="17.5703125" style="108" customWidth="1"/>
    <col min="2810" max="2810" width="14.42578125" style="108" customWidth="1"/>
    <col min="2811" max="2811" width="14.42578125" style="108" bestFit="1" customWidth="1"/>
    <col min="2812" max="2812" width="14" style="108" customWidth="1"/>
    <col min="2813" max="2813" width="13.85546875" style="108" customWidth="1"/>
    <col min="2814" max="2814" width="14" style="108" customWidth="1"/>
    <col min="2815" max="2817" width="13.85546875" style="108" customWidth="1"/>
    <col min="2818" max="2818" width="4.42578125" style="108" customWidth="1"/>
    <col min="2819" max="2819" width="27.140625" style="108" customWidth="1"/>
    <col min="2820" max="2820" width="14.140625" style="108" customWidth="1"/>
    <col min="2821" max="2821" width="14.28515625" style="108" customWidth="1"/>
    <col min="2822" max="2822" width="14" style="108" customWidth="1"/>
    <col min="2823" max="2823" width="13.85546875" style="108" customWidth="1"/>
    <col min="2824" max="2824" width="14" style="108" customWidth="1"/>
    <col min="2825" max="2825" width="13.85546875" style="108" customWidth="1"/>
    <col min="2826" max="2826" width="16.7109375" style="108" customWidth="1"/>
    <col min="2827" max="2827" width="17" style="108" customWidth="1"/>
    <col min="2828" max="3054" width="9.140625" style="108"/>
    <col min="3055" max="3055" width="23.28515625" style="108" customWidth="1"/>
    <col min="3056" max="3056" width="12.7109375" style="108" customWidth="1"/>
    <col min="3057" max="3057" width="14.42578125" style="108" bestFit="1" customWidth="1"/>
    <col min="3058" max="3058" width="14" style="108" customWidth="1"/>
    <col min="3059" max="3059" width="14.42578125" style="108" bestFit="1" customWidth="1"/>
    <col min="3060" max="3060" width="14" style="108" customWidth="1"/>
    <col min="3061" max="3061" width="14" style="108" bestFit="1" customWidth="1"/>
    <col min="3062" max="3062" width="13.140625" style="108" customWidth="1"/>
    <col min="3063" max="3063" width="14.42578125" style="108" bestFit="1" customWidth="1"/>
    <col min="3064" max="3064" width="4.42578125" style="108" customWidth="1"/>
    <col min="3065" max="3065" width="17.5703125" style="108" customWidth="1"/>
    <col min="3066" max="3066" width="14.42578125" style="108" customWidth="1"/>
    <col min="3067" max="3067" width="14.42578125" style="108" bestFit="1" customWidth="1"/>
    <col min="3068" max="3068" width="14" style="108" customWidth="1"/>
    <col min="3069" max="3069" width="13.85546875" style="108" customWidth="1"/>
    <col min="3070" max="3070" width="14" style="108" customWidth="1"/>
    <col min="3071" max="3073" width="13.85546875" style="108" customWidth="1"/>
    <col min="3074" max="3074" width="4.42578125" style="108" customWidth="1"/>
    <col min="3075" max="3075" width="27.140625" style="108" customWidth="1"/>
    <col min="3076" max="3076" width="14.140625" style="108" customWidth="1"/>
    <col min="3077" max="3077" width="14.28515625" style="108" customWidth="1"/>
    <col min="3078" max="3078" width="14" style="108" customWidth="1"/>
    <col min="3079" max="3079" width="13.85546875" style="108" customWidth="1"/>
    <col min="3080" max="3080" width="14" style="108" customWidth="1"/>
    <col min="3081" max="3081" width="13.85546875" style="108" customWidth="1"/>
    <col min="3082" max="3082" width="16.7109375" style="108" customWidth="1"/>
    <col min="3083" max="3083" width="17" style="108" customWidth="1"/>
    <col min="3084" max="3310" width="9.140625" style="108"/>
    <col min="3311" max="3311" width="23.28515625" style="108" customWidth="1"/>
    <col min="3312" max="3312" width="12.7109375" style="108" customWidth="1"/>
    <col min="3313" max="3313" width="14.42578125" style="108" bestFit="1" customWidth="1"/>
    <col min="3314" max="3314" width="14" style="108" customWidth="1"/>
    <col min="3315" max="3315" width="14.42578125" style="108" bestFit="1" customWidth="1"/>
    <col min="3316" max="3316" width="14" style="108" customWidth="1"/>
    <col min="3317" max="3317" width="14" style="108" bestFit="1" customWidth="1"/>
    <col min="3318" max="3318" width="13.140625" style="108" customWidth="1"/>
    <col min="3319" max="3319" width="14.42578125" style="108" bestFit="1" customWidth="1"/>
    <col min="3320" max="3320" width="4.42578125" style="108" customWidth="1"/>
    <col min="3321" max="3321" width="17.5703125" style="108" customWidth="1"/>
    <col min="3322" max="3322" width="14.42578125" style="108" customWidth="1"/>
    <col min="3323" max="3323" width="14.42578125" style="108" bestFit="1" customWidth="1"/>
    <col min="3324" max="3324" width="14" style="108" customWidth="1"/>
    <col min="3325" max="3325" width="13.85546875" style="108" customWidth="1"/>
    <col min="3326" max="3326" width="14" style="108" customWidth="1"/>
    <col min="3327" max="3329" width="13.85546875" style="108" customWidth="1"/>
    <col min="3330" max="3330" width="4.42578125" style="108" customWidth="1"/>
    <col min="3331" max="3331" width="27.140625" style="108" customWidth="1"/>
    <col min="3332" max="3332" width="14.140625" style="108" customWidth="1"/>
    <col min="3333" max="3333" width="14.28515625" style="108" customWidth="1"/>
    <col min="3334" max="3334" width="14" style="108" customWidth="1"/>
    <col min="3335" max="3335" width="13.85546875" style="108" customWidth="1"/>
    <col min="3336" max="3336" width="14" style="108" customWidth="1"/>
    <col min="3337" max="3337" width="13.85546875" style="108" customWidth="1"/>
    <col min="3338" max="3338" width="16.7109375" style="108" customWidth="1"/>
    <col min="3339" max="3339" width="17" style="108" customWidth="1"/>
    <col min="3340" max="3566" width="9.140625" style="108"/>
    <col min="3567" max="3567" width="23.28515625" style="108" customWidth="1"/>
    <col min="3568" max="3568" width="12.7109375" style="108" customWidth="1"/>
    <col min="3569" max="3569" width="14.42578125" style="108" bestFit="1" customWidth="1"/>
    <col min="3570" max="3570" width="14" style="108" customWidth="1"/>
    <col min="3571" max="3571" width="14.42578125" style="108" bestFit="1" customWidth="1"/>
    <col min="3572" max="3572" width="14" style="108" customWidth="1"/>
    <col min="3573" max="3573" width="14" style="108" bestFit="1" customWidth="1"/>
    <col min="3574" max="3574" width="13.140625" style="108" customWidth="1"/>
    <col min="3575" max="3575" width="14.42578125" style="108" bestFit="1" customWidth="1"/>
    <col min="3576" max="3576" width="4.42578125" style="108" customWidth="1"/>
    <col min="3577" max="3577" width="17.5703125" style="108" customWidth="1"/>
    <col min="3578" max="3578" width="14.42578125" style="108" customWidth="1"/>
    <col min="3579" max="3579" width="14.42578125" style="108" bestFit="1" customWidth="1"/>
    <col min="3580" max="3580" width="14" style="108" customWidth="1"/>
    <col min="3581" max="3581" width="13.85546875" style="108" customWidth="1"/>
    <col min="3582" max="3582" width="14" style="108" customWidth="1"/>
    <col min="3583" max="3585" width="13.85546875" style="108" customWidth="1"/>
    <col min="3586" max="3586" width="4.42578125" style="108" customWidth="1"/>
    <col min="3587" max="3587" width="27.140625" style="108" customWidth="1"/>
    <col min="3588" max="3588" width="14.140625" style="108" customWidth="1"/>
    <col min="3589" max="3589" width="14.28515625" style="108" customWidth="1"/>
    <col min="3590" max="3590" width="14" style="108" customWidth="1"/>
    <col min="3591" max="3591" width="13.85546875" style="108" customWidth="1"/>
    <col min="3592" max="3592" width="14" style="108" customWidth="1"/>
    <col min="3593" max="3593" width="13.85546875" style="108" customWidth="1"/>
    <col min="3594" max="3594" width="16.7109375" style="108" customWidth="1"/>
    <col min="3595" max="3595" width="17" style="108" customWidth="1"/>
    <col min="3596" max="3822" width="9.140625" style="108"/>
    <col min="3823" max="3823" width="23.28515625" style="108" customWidth="1"/>
    <col min="3824" max="3824" width="12.7109375" style="108" customWidth="1"/>
    <col min="3825" max="3825" width="14.42578125" style="108" bestFit="1" customWidth="1"/>
    <col min="3826" max="3826" width="14" style="108" customWidth="1"/>
    <col min="3827" max="3827" width="14.42578125" style="108" bestFit="1" customWidth="1"/>
    <col min="3828" max="3828" width="14" style="108" customWidth="1"/>
    <col min="3829" max="3829" width="14" style="108" bestFit="1" customWidth="1"/>
    <col min="3830" max="3830" width="13.140625" style="108" customWidth="1"/>
    <col min="3831" max="3831" width="14.42578125" style="108" bestFit="1" customWidth="1"/>
    <col min="3832" max="3832" width="4.42578125" style="108" customWidth="1"/>
    <col min="3833" max="3833" width="17.5703125" style="108" customWidth="1"/>
    <col min="3834" max="3834" width="14.42578125" style="108" customWidth="1"/>
    <col min="3835" max="3835" width="14.42578125" style="108" bestFit="1" customWidth="1"/>
    <col min="3836" max="3836" width="14" style="108" customWidth="1"/>
    <col min="3837" max="3837" width="13.85546875" style="108" customWidth="1"/>
    <col min="3838" max="3838" width="14" style="108" customWidth="1"/>
    <col min="3839" max="3841" width="13.85546875" style="108" customWidth="1"/>
    <col min="3842" max="3842" width="4.42578125" style="108" customWidth="1"/>
    <col min="3843" max="3843" width="27.140625" style="108" customWidth="1"/>
    <col min="3844" max="3844" width="14.140625" style="108" customWidth="1"/>
    <col min="3845" max="3845" width="14.28515625" style="108" customWidth="1"/>
    <col min="3846" max="3846" width="14" style="108" customWidth="1"/>
    <col min="3847" max="3847" width="13.85546875" style="108" customWidth="1"/>
    <col min="3848" max="3848" width="14" style="108" customWidth="1"/>
    <col min="3849" max="3849" width="13.85546875" style="108" customWidth="1"/>
    <col min="3850" max="3850" width="16.7109375" style="108" customWidth="1"/>
    <col min="3851" max="3851" width="17" style="108" customWidth="1"/>
    <col min="3852" max="4078" width="9.140625" style="108"/>
    <col min="4079" max="4079" width="23.28515625" style="108" customWidth="1"/>
    <col min="4080" max="4080" width="12.7109375" style="108" customWidth="1"/>
    <col min="4081" max="4081" width="14.42578125" style="108" bestFit="1" customWidth="1"/>
    <col min="4082" max="4082" width="14" style="108" customWidth="1"/>
    <col min="4083" max="4083" width="14.42578125" style="108" bestFit="1" customWidth="1"/>
    <col min="4084" max="4084" width="14" style="108" customWidth="1"/>
    <col min="4085" max="4085" width="14" style="108" bestFit="1" customWidth="1"/>
    <col min="4086" max="4086" width="13.140625" style="108" customWidth="1"/>
    <col min="4087" max="4087" width="14.42578125" style="108" bestFit="1" customWidth="1"/>
    <col min="4088" max="4088" width="4.42578125" style="108" customWidth="1"/>
    <col min="4089" max="4089" width="17.5703125" style="108" customWidth="1"/>
    <col min="4090" max="4090" width="14.42578125" style="108" customWidth="1"/>
    <col min="4091" max="4091" width="14.42578125" style="108" bestFit="1" customWidth="1"/>
    <col min="4092" max="4092" width="14" style="108" customWidth="1"/>
    <col min="4093" max="4093" width="13.85546875" style="108" customWidth="1"/>
    <col min="4094" max="4094" width="14" style="108" customWidth="1"/>
    <col min="4095" max="4097" width="13.85546875" style="108" customWidth="1"/>
    <col min="4098" max="4098" width="4.42578125" style="108" customWidth="1"/>
    <col min="4099" max="4099" width="27.140625" style="108" customWidth="1"/>
    <col min="4100" max="4100" width="14.140625" style="108" customWidth="1"/>
    <col min="4101" max="4101" width="14.28515625" style="108" customWidth="1"/>
    <col min="4102" max="4102" width="14" style="108" customWidth="1"/>
    <col min="4103" max="4103" width="13.85546875" style="108" customWidth="1"/>
    <col min="4104" max="4104" width="14" style="108" customWidth="1"/>
    <col min="4105" max="4105" width="13.85546875" style="108" customWidth="1"/>
    <col min="4106" max="4106" width="16.7109375" style="108" customWidth="1"/>
    <col min="4107" max="4107" width="17" style="108" customWidth="1"/>
    <col min="4108" max="4334" width="9.140625" style="108"/>
    <col min="4335" max="4335" width="23.28515625" style="108" customWidth="1"/>
    <col min="4336" max="4336" width="12.7109375" style="108" customWidth="1"/>
    <col min="4337" max="4337" width="14.42578125" style="108" bestFit="1" customWidth="1"/>
    <col min="4338" max="4338" width="14" style="108" customWidth="1"/>
    <col min="4339" max="4339" width="14.42578125" style="108" bestFit="1" customWidth="1"/>
    <col min="4340" max="4340" width="14" style="108" customWidth="1"/>
    <col min="4341" max="4341" width="14" style="108" bestFit="1" customWidth="1"/>
    <col min="4342" max="4342" width="13.140625" style="108" customWidth="1"/>
    <col min="4343" max="4343" width="14.42578125" style="108" bestFit="1" customWidth="1"/>
    <col min="4344" max="4344" width="4.42578125" style="108" customWidth="1"/>
    <col min="4345" max="4345" width="17.5703125" style="108" customWidth="1"/>
    <col min="4346" max="4346" width="14.42578125" style="108" customWidth="1"/>
    <col min="4347" max="4347" width="14.42578125" style="108" bestFit="1" customWidth="1"/>
    <col min="4348" max="4348" width="14" style="108" customWidth="1"/>
    <col min="4349" max="4349" width="13.85546875" style="108" customWidth="1"/>
    <col min="4350" max="4350" width="14" style="108" customWidth="1"/>
    <col min="4351" max="4353" width="13.85546875" style="108" customWidth="1"/>
    <col min="4354" max="4354" width="4.42578125" style="108" customWidth="1"/>
    <col min="4355" max="4355" width="27.140625" style="108" customWidth="1"/>
    <col min="4356" max="4356" width="14.140625" style="108" customWidth="1"/>
    <col min="4357" max="4357" width="14.28515625" style="108" customWidth="1"/>
    <col min="4358" max="4358" width="14" style="108" customWidth="1"/>
    <col min="4359" max="4359" width="13.85546875" style="108" customWidth="1"/>
    <col min="4360" max="4360" width="14" style="108" customWidth="1"/>
    <col min="4361" max="4361" width="13.85546875" style="108" customWidth="1"/>
    <col min="4362" max="4362" width="16.7109375" style="108" customWidth="1"/>
    <col min="4363" max="4363" width="17" style="108" customWidth="1"/>
    <col min="4364" max="4590" width="9.140625" style="108"/>
    <col min="4591" max="4591" width="23.28515625" style="108" customWidth="1"/>
    <col min="4592" max="4592" width="12.7109375" style="108" customWidth="1"/>
    <col min="4593" max="4593" width="14.42578125" style="108" bestFit="1" customWidth="1"/>
    <col min="4594" max="4594" width="14" style="108" customWidth="1"/>
    <col min="4595" max="4595" width="14.42578125" style="108" bestFit="1" customWidth="1"/>
    <col min="4596" max="4596" width="14" style="108" customWidth="1"/>
    <col min="4597" max="4597" width="14" style="108" bestFit="1" customWidth="1"/>
    <col min="4598" max="4598" width="13.140625" style="108" customWidth="1"/>
    <col min="4599" max="4599" width="14.42578125" style="108" bestFit="1" customWidth="1"/>
    <col min="4600" max="4600" width="4.42578125" style="108" customWidth="1"/>
    <col min="4601" max="4601" width="17.5703125" style="108" customWidth="1"/>
    <col min="4602" max="4602" width="14.42578125" style="108" customWidth="1"/>
    <col min="4603" max="4603" width="14.42578125" style="108" bestFit="1" customWidth="1"/>
    <col min="4604" max="4604" width="14" style="108" customWidth="1"/>
    <col min="4605" max="4605" width="13.85546875" style="108" customWidth="1"/>
    <col min="4606" max="4606" width="14" style="108" customWidth="1"/>
    <col min="4607" max="4609" width="13.85546875" style="108" customWidth="1"/>
    <col min="4610" max="4610" width="4.42578125" style="108" customWidth="1"/>
    <col min="4611" max="4611" width="27.140625" style="108" customWidth="1"/>
    <col min="4612" max="4612" width="14.140625" style="108" customWidth="1"/>
    <col min="4613" max="4613" width="14.28515625" style="108" customWidth="1"/>
    <col min="4614" max="4614" width="14" style="108" customWidth="1"/>
    <col min="4615" max="4615" width="13.85546875" style="108" customWidth="1"/>
    <col min="4616" max="4616" width="14" style="108" customWidth="1"/>
    <col min="4617" max="4617" width="13.85546875" style="108" customWidth="1"/>
    <col min="4618" max="4618" width="16.7109375" style="108" customWidth="1"/>
    <col min="4619" max="4619" width="17" style="108" customWidth="1"/>
    <col min="4620" max="4846" width="9.140625" style="108"/>
    <col min="4847" max="4847" width="23.28515625" style="108" customWidth="1"/>
    <col min="4848" max="4848" width="12.7109375" style="108" customWidth="1"/>
    <col min="4849" max="4849" width="14.42578125" style="108" bestFit="1" customWidth="1"/>
    <col min="4850" max="4850" width="14" style="108" customWidth="1"/>
    <col min="4851" max="4851" width="14.42578125" style="108" bestFit="1" customWidth="1"/>
    <col min="4852" max="4852" width="14" style="108" customWidth="1"/>
    <col min="4853" max="4853" width="14" style="108" bestFit="1" customWidth="1"/>
    <col min="4854" max="4854" width="13.140625" style="108" customWidth="1"/>
    <col min="4855" max="4855" width="14.42578125" style="108" bestFit="1" customWidth="1"/>
    <col min="4856" max="4856" width="4.42578125" style="108" customWidth="1"/>
    <col min="4857" max="4857" width="17.5703125" style="108" customWidth="1"/>
    <col min="4858" max="4858" width="14.42578125" style="108" customWidth="1"/>
    <col min="4859" max="4859" width="14.42578125" style="108" bestFit="1" customWidth="1"/>
    <col min="4860" max="4860" width="14" style="108" customWidth="1"/>
    <col min="4861" max="4861" width="13.85546875" style="108" customWidth="1"/>
    <col min="4862" max="4862" width="14" style="108" customWidth="1"/>
    <col min="4863" max="4865" width="13.85546875" style="108" customWidth="1"/>
    <col min="4866" max="4866" width="4.42578125" style="108" customWidth="1"/>
    <col min="4867" max="4867" width="27.140625" style="108" customWidth="1"/>
    <col min="4868" max="4868" width="14.140625" style="108" customWidth="1"/>
    <col min="4869" max="4869" width="14.28515625" style="108" customWidth="1"/>
    <col min="4870" max="4870" width="14" style="108" customWidth="1"/>
    <col min="4871" max="4871" width="13.85546875" style="108" customWidth="1"/>
    <col min="4872" max="4872" width="14" style="108" customWidth="1"/>
    <col min="4873" max="4873" width="13.85546875" style="108" customWidth="1"/>
    <col min="4874" max="4874" width="16.7109375" style="108" customWidth="1"/>
    <col min="4875" max="4875" width="17" style="108" customWidth="1"/>
    <col min="4876" max="5102" width="9.140625" style="108"/>
    <col min="5103" max="5103" width="23.28515625" style="108" customWidth="1"/>
    <col min="5104" max="5104" width="12.7109375" style="108" customWidth="1"/>
    <col min="5105" max="5105" width="14.42578125" style="108" bestFit="1" customWidth="1"/>
    <col min="5106" max="5106" width="14" style="108" customWidth="1"/>
    <col min="5107" max="5107" width="14.42578125" style="108" bestFit="1" customWidth="1"/>
    <col min="5108" max="5108" width="14" style="108" customWidth="1"/>
    <col min="5109" max="5109" width="14" style="108" bestFit="1" customWidth="1"/>
    <col min="5110" max="5110" width="13.140625" style="108" customWidth="1"/>
    <col min="5111" max="5111" width="14.42578125" style="108" bestFit="1" customWidth="1"/>
    <col min="5112" max="5112" width="4.42578125" style="108" customWidth="1"/>
    <col min="5113" max="5113" width="17.5703125" style="108" customWidth="1"/>
    <col min="5114" max="5114" width="14.42578125" style="108" customWidth="1"/>
    <col min="5115" max="5115" width="14.42578125" style="108" bestFit="1" customWidth="1"/>
    <col min="5116" max="5116" width="14" style="108" customWidth="1"/>
    <col min="5117" max="5117" width="13.85546875" style="108" customWidth="1"/>
    <col min="5118" max="5118" width="14" style="108" customWidth="1"/>
    <col min="5119" max="5121" width="13.85546875" style="108" customWidth="1"/>
    <col min="5122" max="5122" width="4.42578125" style="108" customWidth="1"/>
    <col min="5123" max="5123" width="27.140625" style="108" customWidth="1"/>
    <col min="5124" max="5124" width="14.140625" style="108" customWidth="1"/>
    <col min="5125" max="5125" width="14.28515625" style="108" customWidth="1"/>
    <col min="5126" max="5126" width="14" style="108" customWidth="1"/>
    <col min="5127" max="5127" width="13.85546875" style="108" customWidth="1"/>
    <col min="5128" max="5128" width="14" style="108" customWidth="1"/>
    <col min="5129" max="5129" width="13.85546875" style="108" customWidth="1"/>
    <col min="5130" max="5130" width="16.7109375" style="108" customWidth="1"/>
    <col min="5131" max="5131" width="17" style="108" customWidth="1"/>
    <col min="5132" max="5358" width="9.140625" style="108"/>
    <col min="5359" max="5359" width="23.28515625" style="108" customWidth="1"/>
    <col min="5360" max="5360" width="12.7109375" style="108" customWidth="1"/>
    <col min="5361" max="5361" width="14.42578125" style="108" bestFit="1" customWidth="1"/>
    <col min="5362" max="5362" width="14" style="108" customWidth="1"/>
    <col min="5363" max="5363" width="14.42578125" style="108" bestFit="1" customWidth="1"/>
    <col min="5364" max="5364" width="14" style="108" customWidth="1"/>
    <col min="5365" max="5365" width="14" style="108" bestFit="1" customWidth="1"/>
    <col min="5366" max="5366" width="13.140625" style="108" customWidth="1"/>
    <col min="5367" max="5367" width="14.42578125" style="108" bestFit="1" customWidth="1"/>
    <col min="5368" max="5368" width="4.42578125" style="108" customWidth="1"/>
    <col min="5369" max="5369" width="17.5703125" style="108" customWidth="1"/>
    <col min="5370" max="5370" width="14.42578125" style="108" customWidth="1"/>
    <col min="5371" max="5371" width="14.42578125" style="108" bestFit="1" customWidth="1"/>
    <col min="5372" max="5372" width="14" style="108" customWidth="1"/>
    <col min="5373" max="5373" width="13.85546875" style="108" customWidth="1"/>
    <col min="5374" max="5374" width="14" style="108" customWidth="1"/>
    <col min="5375" max="5377" width="13.85546875" style="108" customWidth="1"/>
    <col min="5378" max="5378" width="4.42578125" style="108" customWidth="1"/>
    <col min="5379" max="5379" width="27.140625" style="108" customWidth="1"/>
    <col min="5380" max="5380" width="14.140625" style="108" customWidth="1"/>
    <col min="5381" max="5381" width="14.28515625" style="108" customWidth="1"/>
    <col min="5382" max="5382" width="14" style="108" customWidth="1"/>
    <col min="5383" max="5383" width="13.85546875" style="108" customWidth="1"/>
    <col min="5384" max="5384" width="14" style="108" customWidth="1"/>
    <col min="5385" max="5385" width="13.85546875" style="108" customWidth="1"/>
    <col min="5386" max="5386" width="16.7109375" style="108" customWidth="1"/>
    <col min="5387" max="5387" width="17" style="108" customWidth="1"/>
    <col min="5388" max="5614" width="9.140625" style="108"/>
    <col min="5615" max="5615" width="23.28515625" style="108" customWidth="1"/>
    <col min="5616" max="5616" width="12.7109375" style="108" customWidth="1"/>
    <col min="5617" max="5617" width="14.42578125" style="108" bestFit="1" customWidth="1"/>
    <col min="5618" max="5618" width="14" style="108" customWidth="1"/>
    <col min="5619" max="5619" width="14.42578125" style="108" bestFit="1" customWidth="1"/>
    <col min="5620" max="5620" width="14" style="108" customWidth="1"/>
    <col min="5621" max="5621" width="14" style="108" bestFit="1" customWidth="1"/>
    <col min="5622" max="5622" width="13.140625" style="108" customWidth="1"/>
    <col min="5623" max="5623" width="14.42578125" style="108" bestFit="1" customWidth="1"/>
    <col min="5624" max="5624" width="4.42578125" style="108" customWidth="1"/>
    <col min="5625" max="5625" width="17.5703125" style="108" customWidth="1"/>
    <col min="5626" max="5626" width="14.42578125" style="108" customWidth="1"/>
    <col min="5627" max="5627" width="14.42578125" style="108" bestFit="1" customWidth="1"/>
    <col min="5628" max="5628" width="14" style="108" customWidth="1"/>
    <col min="5629" max="5629" width="13.85546875" style="108" customWidth="1"/>
    <col min="5630" max="5630" width="14" style="108" customWidth="1"/>
    <col min="5631" max="5633" width="13.85546875" style="108" customWidth="1"/>
    <col min="5634" max="5634" width="4.42578125" style="108" customWidth="1"/>
    <col min="5635" max="5635" width="27.140625" style="108" customWidth="1"/>
    <col min="5636" max="5636" width="14.140625" style="108" customWidth="1"/>
    <col min="5637" max="5637" width="14.28515625" style="108" customWidth="1"/>
    <col min="5638" max="5638" width="14" style="108" customWidth="1"/>
    <col min="5639" max="5639" width="13.85546875" style="108" customWidth="1"/>
    <col min="5640" max="5640" width="14" style="108" customWidth="1"/>
    <col min="5641" max="5641" width="13.85546875" style="108" customWidth="1"/>
    <col min="5642" max="5642" width="16.7109375" style="108" customWidth="1"/>
    <col min="5643" max="5643" width="17" style="108" customWidth="1"/>
    <col min="5644" max="5870" width="9.140625" style="108"/>
    <col min="5871" max="5871" width="23.28515625" style="108" customWidth="1"/>
    <col min="5872" max="5872" width="12.7109375" style="108" customWidth="1"/>
    <col min="5873" max="5873" width="14.42578125" style="108" bestFit="1" customWidth="1"/>
    <col min="5874" max="5874" width="14" style="108" customWidth="1"/>
    <col min="5875" max="5875" width="14.42578125" style="108" bestFit="1" customWidth="1"/>
    <col min="5876" max="5876" width="14" style="108" customWidth="1"/>
    <col min="5877" max="5877" width="14" style="108" bestFit="1" customWidth="1"/>
    <col min="5878" max="5878" width="13.140625" style="108" customWidth="1"/>
    <col min="5879" max="5879" width="14.42578125" style="108" bestFit="1" customWidth="1"/>
    <col min="5880" max="5880" width="4.42578125" style="108" customWidth="1"/>
    <col min="5881" max="5881" width="17.5703125" style="108" customWidth="1"/>
    <col min="5882" max="5882" width="14.42578125" style="108" customWidth="1"/>
    <col min="5883" max="5883" width="14.42578125" style="108" bestFit="1" customWidth="1"/>
    <col min="5884" max="5884" width="14" style="108" customWidth="1"/>
    <col min="5885" max="5885" width="13.85546875" style="108" customWidth="1"/>
    <col min="5886" max="5886" width="14" style="108" customWidth="1"/>
    <col min="5887" max="5889" width="13.85546875" style="108" customWidth="1"/>
    <col min="5890" max="5890" width="4.42578125" style="108" customWidth="1"/>
    <col min="5891" max="5891" width="27.140625" style="108" customWidth="1"/>
    <col min="5892" max="5892" width="14.140625" style="108" customWidth="1"/>
    <col min="5893" max="5893" width="14.28515625" style="108" customWidth="1"/>
    <col min="5894" max="5894" width="14" style="108" customWidth="1"/>
    <col min="5895" max="5895" width="13.85546875" style="108" customWidth="1"/>
    <col min="5896" max="5896" width="14" style="108" customWidth="1"/>
    <col min="5897" max="5897" width="13.85546875" style="108" customWidth="1"/>
    <col min="5898" max="5898" width="16.7109375" style="108" customWidth="1"/>
    <col min="5899" max="5899" width="17" style="108" customWidth="1"/>
    <col min="5900" max="6126" width="9.140625" style="108"/>
    <col min="6127" max="6127" width="23.28515625" style="108" customWidth="1"/>
    <col min="6128" max="6128" width="12.7109375" style="108" customWidth="1"/>
    <col min="6129" max="6129" width="14.42578125" style="108" bestFit="1" customWidth="1"/>
    <col min="6130" max="6130" width="14" style="108" customWidth="1"/>
    <col min="6131" max="6131" width="14.42578125" style="108" bestFit="1" customWidth="1"/>
    <col min="6132" max="6132" width="14" style="108" customWidth="1"/>
    <col min="6133" max="6133" width="14" style="108" bestFit="1" customWidth="1"/>
    <col min="6134" max="6134" width="13.140625" style="108" customWidth="1"/>
    <col min="6135" max="6135" width="14.42578125" style="108" bestFit="1" customWidth="1"/>
    <col min="6136" max="6136" width="4.42578125" style="108" customWidth="1"/>
    <col min="6137" max="6137" width="17.5703125" style="108" customWidth="1"/>
    <col min="6138" max="6138" width="14.42578125" style="108" customWidth="1"/>
    <col min="6139" max="6139" width="14.42578125" style="108" bestFit="1" customWidth="1"/>
    <col min="6140" max="6140" width="14" style="108" customWidth="1"/>
    <col min="6141" max="6141" width="13.85546875" style="108" customWidth="1"/>
    <col min="6142" max="6142" width="14" style="108" customWidth="1"/>
    <col min="6143" max="6145" width="13.85546875" style="108" customWidth="1"/>
    <col min="6146" max="6146" width="4.42578125" style="108" customWidth="1"/>
    <col min="6147" max="6147" width="27.140625" style="108" customWidth="1"/>
    <col min="6148" max="6148" width="14.140625" style="108" customWidth="1"/>
    <col min="6149" max="6149" width="14.28515625" style="108" customWidth="1"/>
    <col min="6150" max="6150" width="14" style="108" customWidth="1"/>
    <col min="6151" max="6151" width="13.85546875" style="108" customWidth="1"/>
    <col min="6152" max="6152" width="14" style="108" customWidth="1"/>
    <col min="6153" max="6153" width="13.85546875" style="108" customWidth="1"/>
    <col min="6154" max="6154" width="16.7109375" style="108" customWidth="1"/>
    <col min="6155" max="6155" width="17" style="108" customWidth="1"/>
    <col min="6156" max="6382" width="9.140625" style="108"/>
    <col min="6383" max="6383" width="23.28515625" style="108" customWidth="1"/>
    <col min="6384" max="6384" width="12.7109375" style="108" customWidth="1"/>
    <col min="6385" max="6385" width="14.42578125" style="108" bestFit="1" customWidth="1"/>
    <col min="6386" max="6386" width="14" style="108" customWidth="1"/>
    <col min="6387" max="6387" width="14.42578125" style="108" bestFit="1" customWidth="1"/>
    <col min="6388" max="6388" width="14" style="108" customWidth="1"/>
    <col min="6389" max="6389" width="14" style="108" bestFit="1" customWidth="1"/>
    <col min="6390" max="6390" width="13.140625" style="108" customWidth="1"/>
    <col min="6391" max="6391" width="14.42578125" style="108" bestFit="1" customWidth="1"/>
    <col min="6392" max="6392" width="4.42578125" style="108" customWidth="1"/>
    <col min="6393" max="6393" width="17.5703125" style="108" customWidth="1"/>
    <col min="6394" max="6394" width="14.42578125" style="108" customWidth="1"/>
    <col min="6395" max="6395" width="14.42578125" style="108" bestFit="1" customWidth="1"/>
    <col min="6396" max="6396" width="14" style="108" customWidth="1"/>
    <col min="6397" max="6397" width="13.85546875" style="108" customWidth="1"/>
    <col min="6398" max="6398" width="14" style="108" customWidth="1"/>
    <col min="6399" max="6401" width="13.85546875" style="108" customWidth="1"/>
    <col min="6402" max="6402" width="4.42578125" style="108" customWidth="1"/>
    <col min="6403" max="6403" width="27.140625" style="108" customWidth="1"/>
    <col min="6404" max="6404" width="14.140625" style="108" customWidth="1"/>
    <col min="6405" max="6405" width="14.28515625" style="108" customWidth="1"/>
    <col min="6406" max="6406" width="14" style="108" customWidth="1"/>
    <col min="6407" max="6407" width="13.85546875" style="108" customWidth="1"/>
    <col min="6408" max="6408" width="14" style="108" customWidth="1"/>
    <col min="6409" max="6409" width="13.85546875" style="108" customWidth="1"/>
    <col min="6410" max="6410" width="16.7109375" style="108" customWidth="1"/>
    <col min="6411" max="6411" width="17" style="108" customWidth="1"/>
    <col min="6412" max="6638" width="9.140625" style="108"/>
    <col min="6639" max="6639" width="23.28515625" style="108" customWidth="1"/>
    <col min="6640" max="6640" width="12.7109375" style="108" customWidth="1"/>
    <col min="6641" max="6641" width="14.42578125" style="108" bestFit="1" customWidth="1"/>
    <col min="6642" max="6642" width="14" style="108" customWidth="1"/>
    <col min="6643" max="6643" width="14.42578125" style="108" bestFit="1" customWidth="1"/>
    <col min="6644" max="6644" width="14" style="108" customWidth="1"/>
    <col min="6645" max="6645" width="14" style="108" bestFit="1" customWidth="1"/>
    <col min="6646" max="6646" width="13.140625" style="108" customWidth="1"/>
    <col min="6647" max="6647" width="14.42578125" style="108" bestFit="1" customWidth="1"/>
    <col min="6648" max="6648" width="4.42578125" style="108" customWidth="1"/>
    <col min="6649" max="6649" width="17.5703125" style="108" customWidth="1"/>
    <col min="6650" max="6650" width="14.42578125" style="108" customWidth="1"/>
    <col min="6651" max="6651" width="14.42578125" style="108" bestFit="1" customWidth="1"/>
    <col min="6652" max="6652" width="14" style="108" customWidth="1"/>
    <col min="6653" max="6653" width="13.85546875" style="108" customWidth="1"/>
    <col min="6654" max="6654" width="14" style="108" customWidth="1"/>
    <col min="6655" max="6657" width="13.85546875" style="108" customWidth="1"/>
    <col min="6658" max="6658" width="4.42578125" style="108" customWidth="1"/>
    <col min="6659" max="6659" width="27.140625" style="108" customWidth="1"/>
    <col min="6660" max="6660" width="14.140625" style="108" customWidth="1"/>
    <col min="6661" max="6661" width="14.28515625" style="108" customWidth="1"/>
    <col min="6662" max="6662" width="14" style="108" customWidth="1"/>
    <col min="6663" max="6663" width="13.85546875" style="108" customWidth="1"/>
    <col min="6664" max="6664" width="14" style="108" customWidth="1"/>
    <col min="6665" max="6665" width="13.85546875" style="108" customWidth="1"/>
    <col min="6666" max="6666" width="16.7109375" style="108" customWidth="1"/>
    <col min="6667" max="6667" width="17" style="108" customWidth="1"/>
    <col min="6668" max="6894" width="9.140625" style="108"/>
    <col min="6895" max="6895" width="23.28515625" style="108" customWidth="1"/>
    <col min="6896" max="6896" width="12.7109375" style="108" customWidth="1"/>
    <col min="6897" max="6897" width="14.42578125" style="108" bestFit="1" customWidth="1"/>
    <col min="6898" max="6898" width="14" style="108" customWidth="1"/>
    <col min="6899" max="6899" width="14.42578125" style="108" bestFit="1" customWidth="1"/>
    <col min="6900" max="6900" width="14" style="108" customWidth="1"/>
    <col min="6901" max="6901" width="14" style="108" bestFit="1" customWidth="1"/>
    <col min="6902" max="6902" width="13.140625" style="108" customWidth="1"/>
    <col min="6903" max="6903" width="14.42578125" style="108" bestFit="1" customWidth="1"/>
    <col min="6904" max="6904" width="4.42578125" style="108" customWidth="1"/>
    <col min="6905" max="6905" width="17.5703125" style="108" customWidth="1"/>
    <col min="6906" max="6906" width="14.42578125" style="108" customWidth="1"/>
    <col min="6907" max="6907" width="14.42578125" style="108" bestFit="1" customWidth="1"/>
    <col min="6908" max="6908" width="14" style="108" customWidth="1"/>
    <col min="6909" max="6909" width="13.85546875" style="108" customWidth="1"/>
    <col min="6910" max="6910" width="14" style="108" customWidth="1"/>
    <col min="6911" max="6913" width="13.85546875" style="108" customWidth="1"/>
    <col min="6914" max="6914" width="4.42578125" style="108" customWidth="1"/>
    <col min="6915" max="6915" width="27.140625" style="108" customWidth="1"/>
    <col min="6916" max="6916" width="14.140625" style="108" customWidth="1"/>
    <col min="6917" max="6917" width="14.28515625" style="108" customWidth="1"/>
    <col min="6918" max="6918" width="14" style="108" customWidth="1"/>
    <col min="6919" max="6919" width="13.85546875" style="108" customWidth="1"/>
    <col min="6920" max="6920" width="14" style="108" customWidth="1"/>
    <col min="6921" max="6921" width="13.85546875" style="108" customWidth="1"/>
    <col min="6922" max="6922" width="16.7109375" style="108" customWidth="1"/>
    <col min="6923" max="6923" width="17" style="108" customWidth="1"/>
    <col min="6924" max="7150" width="9.140625" style="108"/>
    <col min="7151" max="7151" width="23.28515625" style="108" customWidth="1"/>
    <col min="7152" max="7152" width="12.7109375" style="108" customWidth="1"/>
    <col min="7153" max="7153" width="14.42578125" style="108" bestFit="1" customWidth="1"/>
    <col min="7154" max="7154" width="14" style="108" customWidth="1"/>
    <col min="7155" max="7155" width="14.42578125" style="108" bestFit="1" customWidth="1"/>
    <col min="7156" max="7156" width="14" style="108" customWidth="1"/>
    <col min="7157" max="7157" width="14" style="108" bestFit="1" customWidth="1"/>
    <col min="7158" max="7158" width="13.140625" style="108" customWidth="1"/>
    <col min="7159" max="7159" width="14.42578125" style="108" bestFit="1" customWidth="1"/>
    <col min="7160" max="7160" width="4.42578125" style="108" customWidth="1"/>
    <col min="7161" max="7161" width="17.5703125" style="108" customWidth="1"/>
    <col min="7162" max="7162" width="14.42578125" style="108" customWidth="1"/>
    <col min="7163" max="7163" width="14.42578125" style="108" bestFit="1" customWidth="1"/>
    <col min="7164" max="7164" width="14" style="108" customWidth="1"/>
    <col min="7165" max="7165" width="13.85546875" style="108" customWidth="1"/>
    <col min="7166" max="7166" width="14" style="108" customWidth="1"/>
    <col min="7167" max="7169" width="13.85546875" style="108" customWidth="1"/>
    <col min="7170" max="7170" width="4.42578125" style="108" customWidth="1"/>
    <col min="7171" max="7171" width="27.140625" style="108" customWidth="1"/>
    <col min="7172" max="7172" width="14.140625" style="108" customWidth="1"/>
    <col min="7173" max="7173" width="14.28515625" style="108" customWidth="1"/>
    <col min="7174" max="7174" width="14" style="108" customWidth="1"/>
    <col min="7175" max="7175" width="13.85546875" style="108" customWidth="1"/>
    <col min="7176" max="7176" width="14" style="108" customWidth="1"/>
    <col min="7177" max="7177" width="13.85546875" style="108" customWidth="1"/>
    <col min="7178" max="7178" width="16.7109375" style="108" customWidth="1"/>
    <col min="7179" max="7179" width="17" style="108" customWidth="1"/>
    <col min="7180" max="7406" width="9.140625" style="108"/>
    <col min="7407" max="7407" width="23.28515625" style="108" customWidth="1"/>
    <col min="7408" max="7408" width="12.7109375" style="108" customWidth="1"/>
    <col min="7409" max="7409" width="14.42578125" style="108" bestFit="1" customWidth="1"/>
    <col min="7410" max="7410" width="14" style="108" customWidth="1"/>
    <col min="7411" max="7411" width="14.42578125" style="108" bestFit="1" customWidth="1"/>
    <col min="7412" max="7412" width="14" style="108" customWidth="1"/>
    <col min="7413" max="7413" width="14" style="108" bestFit="1" customWidth="1"/>
    <col min="7414" max="7414" width="13.140625" style="108" customWidth="1"/>
    <col min="7415" max="7415" width="14.42578125" style="108" bestFit="1" customWidth="1"/>
    <col min="7416" max="7416" width="4.42578125" style="108" customWidth="1"/>
    <col min="7417" max="7417" width="17.5703125" style="108" customWidth="1"/>
    <col min="7418" max="7418" width="14.42578125" style="108" customWidth="1"/>
    <col min="7419" max="7419" width="14.42578125" style="108" bestFit="1" customWidth="1"/>
    <col min="7420" max="7420" width="14" style="108" customWidth="1"/>
    <col min="7421" max="7421" width="13.85546875" style="108" customWidth="1"/>
    <col min="7422" max="7422" width="14" style="108" customWidth="1"/>
    <col min="7423" max="7425" width="13.85546875" style="108" customWidth="1"/>
    <col min="7426" max="7426" width="4.42578125" style="108" customWidth="1"/>
    <col min="7427" max="7427" width="27.140625" style="108" customWidth="1"/>
    <col min="7428" max="7428" width="14.140625" style="108" customWidth="1"/>
    <col min="7429" max="7429" width="14.28515625" style="108" customWidth="1"/>
    <col min="7430" max="7430" width="14" style="108" customWidth="1"/>
    <col min="7431" max="7431" width="13.85546875" style="108" customWidth="1"/>
    <col min="7432" max="7432" width="14" style="108" customWidth="1"/>
    <col min="7433" max="7433" width="13.85546875" style="108" customWidth="1"/>
    <col min="7434" max="7434" width="16.7109375" style="108" customWidth="1"/>
    <col min="7435" max="7435" width="17" style="108" customWidth="1"/>
    <col min="7436" max="7662" width="9.140625" style="108"/>
    <col min="7663" max="7663" width="23.28515625" style="108" customWidth="1"/>
    <col min="7664" max="7664" width="12.7109375" style="108" customWidth="1"/>
    <col min="7665" max="7665" width="14.42578125" style="108" bestFit="1" customWidth="1"/>
    <col min="7666" max="7666" width="14" style="108" customWidth="1"/>
    <col min="7667" max="7667" width="14.42578125" style="108" bestFit="1" customWidth="1"/>
    <col min="7668" max="7668" width="14" style="108" customWidth="1"/>
    <col min="7669" max="7669" width="14" style="108" bestFit="1" customWidth="1"/>
    <col min="7670" max="7670" width="13.140625" style="108" customWidth="1"/>
    <col min="7671" max="7671" width="14.42578125" style="108" bestFit="1" customWidth="1"/>
    <col min="7672" max="7672" width="4.42578125" style="108" customWidth="1"/>
    <col min="7673" max="7673" width="17.5703125" style="108" customWidth="1"/>
    <col min="7674" max="7674" width="14.42578125" style="108" customWidth="1"/>
    <col min="7675" max="7675" width="14.42578125" style="108" bestFit="1" customWidth="1"/>
    <col min="7676" max="7676" width="14" style="108" customWidth="1"/>
    <col min="7677" max="7677" width="13.85546875" style="108" customWidth="1"/>
    <col min="7678" max="7678" width="14" style="108" customWidth="1"/>
    <col min="7679" max="7681" width="13.85546875" style="108" customWidth="1"/>
    <col min="7682" max="7682" width="4.42578125" style="108" customWidth="1"/>
    <col min="7683" max="7683" width="27.140625" style="108" customWidth="1"/>
    <col min="7684" max="7684" width="14.140625" style="108" customWidth="1"/>
    <col min="7685" max="7685" width="14.28515625" style="108" customWidth="1"/>
    <col min="7686" max="7686" width="14" style="108" customWidth="1"/>
    <col min="7687" max="7687" width="13.85546875" style="108" customWidth="1"/>
    <col min="7688" max="7688" width="14" style="108" customWidth="1"/>
    <col min="7689" max="7689" width="13.85546875" style="108" customWidth="1"/>
    <col min="7690" max="7690" width="16.7109375" style="108" customWidth="1"/>
    <col min="7691" max="7691" width="17" style="108" customWidth="1"/>
    <col min="7692" max="7918" width="9.140625" style="108"/>
    <col min="7919" max="7919" width="23.28515625" style="108" customWidth="1"/>
    <col min="7920" max="7920" width="12.7109375" style="108" customWidth="1"/>
    <col min="7921" max="7921" width="14.42578125" style="108" bestFit="1" customWidth="1"/>
    <col min="7922" max="7922" width="14" style="108" customWidth="1"/>
    <col min="7923" max="7923" width="14.42578125" style="108" bestFit="1" customWidth="1"/>
    <col min="7924" max="7924" width="14" style="108" customWidth="1"/>
    <col min="7925" max="7925" width="14" style="108" bestFit="1" customWidth="1"/>
    <col min="7926" max="7926" width="13.140625" style="108" customWidth="1"/>
    <col min="7927" max="7927" width="14.42578125" style="108" bestFit="1" customWidth="1"/>
    <col min="7928" max="7928" width="4.42578125" style="108" customWidth="1"/>
    <col min="7929" max="7929" width="17.5703125" style="108" customWidth="1"/>
    <col min="7930" max="7930" width="14.42578125" style="108" customWidth="1"/>
    <col min="7931" max="7931" width="14.42578125" style="108" bestFit="1" customWidth="1"/>
    <col min="7932" max="7932" width="14" style="108" customWidth="1"/>
    <col min="7933" max="7933" width="13.85546875" style="108" customWidth="1"/>
    <col min="7934" max="7934" width="14" style="108" customWidth="1"/>
    <col min="7935" max="7937" width="13.85546875" style="108" customWidth="1"/>
    <col min="7938" max="7938" width="4.42578125" style="108" customWidth="1"/>
    <col min="7939" max="7939" width="27.140625" style="108" customWidth="1"/>
    <col min="7940" max="7940" width="14.140625" style="108" customWidth="1"/>
    <col min="7941" max="7941" width="14.28515625" style="108" customWidth="1"/>
    <col min="7942" max="7942" width="14" style="108" customWidth="1"/>
    <col min="7943" max="7943" width="13.85546875" style="108" customWidth="1"/>
    <col min="7944" max="7944" width="14" style="108" customWidth="1"/>
    <col min="7945" max="7945" width="13.85546875" style="108" customWidth="1"/>
    <col min="7946" max="7946" width="16.7109375" style="108" customWidth="1"/>
    <col min="7947" max="7947" width="17" style="108" customWidth="1"/>
    <col min="7948" max="8174" width="9.140625" style="108"/>
    <col min="8175" max="8175" width="23.28515625" style="108" customWidth="1"/>
    <col min="8176" max="8176" width="12.7109375" style="108" customWidth="1"/>
    <col min="8177" max="8177" width="14.42578125" style="108" bestFit="1" customWidth="1"/>
    <col min="8178" max="8178" width="14" style="108" customWidth="1"/>
    <col min="8179" max="8179" width="14.42578125" style="108" bestFit="1" customWidth="1"/>
    <col min="8180" max="8180" width="14" style="108" customWidth="1"/>
    <col min="8181" max="8181" width="14" style="108" bestFit="1" customWidth="1"/>
    <col min="8182" max="8182" width="13.140625" style="108" customWidth="1"/>
    <col min="8183" max="8183" width="14.42578125" style="108" bestFit="1" customWidth="1"/>
    <col min="8184" max="8184" width="4.42578125" style="108" customWidth="1"/>
    <col min="8185" max="8185" width="17.5703125" style="108" customWidth="1"/>
    <col min="8186" max="8186" width="14.42578125" style="108" customWidth="1"/>
    <col min="8187" max="8187" width="14.42578125" style="108" bestFit="1" customWidth="1"/>
    <col min="8188" max="8188" width="14" style="108" customWidth="1"/>
    <col min="8189" max="8189" width="13.85546875" style="108" customWidth="1"/>
    <col min="8190" max="8190" width="14" style="108" customWidth="1"/>
    <col min="8191" max="8193" width="13.85546875" style="108" customWidth="1"/>
    <col min="8194" max="8194" width="4.42578125" style="108" customWidth="1"/>
    <col min="8195" max="8195" width="27.140625" style="108" customWidth="1"/>
    <col min="8196" max="8196" width="14.140625" style="108" customWidth="1"/>
    <col min="8197" max="8197" width="14.28515625" style="108" customWidth="1"/>
    <col min="8198" max="8198" width="14" style="108" customWidth="1"/>
    <col min="8199" max="8199" width="13.85546875" style="108" customWidth="1"/>
    <col min="8200" max="8200" width="14" style="108" customWidth="1"/>
    <col min="8201" max="8201" width="13.85546875" style="108" customWidth="1"/>
    <col min="8202" max="8202" width="16.7109375" style="108" customWidth="1"/>
    <col min="8203" max="8203" width="17" style="108" customWidth="1"/>
    <col min="8204" max="8430" width="9.140625" style="108"/>
    <col min="8431" max="8431" width="23.28515625" style="108" customWidth="1"/>
    <col min="8432" max="8432" width="12.7109375" style="108" customWidth="1"/>
    <col min="8433" max="8433" width="14.42578125" style="108" bestFit="1" customWidth="1"/>
    <col min="8434" max="8434" width="14" style="108" customWidth="1"/>
    <col min="8435" max="8435" width="14.42578125" style="108" bestFit="1" customWidth="1"/>
    <col min="8436" max="8436" width="14" style="108" customWidth="1"/>
    <col min="8437" max="8437" width="14" style="108" bestFit="1" customWidth="1"/>
    <col min="8438" max="8438" width="13.140625" style="108" customWidth="1"/>
    <col min="8439" max="8439" width="14.42578125" style="108" bestFit="1" customWidth="1"/>
    <col min="8440" max="8440" width="4.42578125" style="108" customWidth="1"/>
    <col min="8441" max="8441" width="17.5703125" style="108" customWidth="1"/>
    <col min="8442" max="8442" width="14.42578125" style="108" customWidth="1"/>
    <col min="8443" max="8443" width="14.42578125" style="108" bestFit="1" customWidth="1"/>
    <col min="8444" max="8444" width="14" style="108" customWidth="1"/>
    <col min="8445" max="8445" width="13.85546875" style="108" customWidth="1"/>
    <col min="8446" max="8446" width="14" style="108" customWidth="1"/>
    <col min="8447" max="8449" width="13.85546875" style="108" customWidth="1"/>
    <col min="8450" max="8450" width="4.42578125" style="108" customWidth="1"/>
    <col min="8451" max="8451" width="27.140625" style="108" customWidth="1"/>
    <col min="8452" max="8452" width="14.140625" style="108" customWidth="1"/>
    <col min="8453" max="8453" width="14.28515625" style="108" customWidth="1"/>
    <col min="8454" max="8454" width="14" style="108" customWidth="1"/>
    <col min="8455" max="8455" width="13.85546875" style="108" customWidth="1"/>
    <col min="8456" max="8456" width="14" style="108" customWidth="1"/>
    <col min="8457" max="8457" width="13.85546875" style="108" customWidth="1"/>
    <col min="8458" max="8458" width="16.7109375" style="108" customWidth="1"/>
    <col min="8459" max="8459" width="17" style="108" customWidth="1"/>
    <col min="8460" max="8686" width="9.140625" style="108"/>
    <col min="8687" max="8687" width="23.28515625" style="108" customWidth="1"/>
    <col min="8688" max="8688" width="12.7109375" style="108" customWidth="1"/>
    <col min="8689" max="8689" width="14.42578125" style="108" bestFit="1" customWidth="1"/>
    <col min="8690" max="8690" width="14" style="108" customWidth="1"/>
    <col min="8691" max="8691" width="14.42578125" style="108" bestFit="1" customWidth="1"/>
    <col min="8692" max="8692" width="14" style="108" customWidth="1"/>
    <col min="8693" max="8693" width="14" style="108" bestFit="1" customWidth="1"/>
    <col min="8694" max="8694" width="13.140625" style="108" customWidth="1"/>
    <col min="8695" max="8695" width="14.42578125" style="108" bestFit="1" customWidth="1"/>
    <col min="8696" max="8696" width="4.42578125" style="108" customWidth="1"/>
    <col min="8697" max="8697" width="17.5703125" style="108" customWidth="1"/>
    <col min="8698" max="8698" width="14.42578125" style="108" customWidth="1"/>
    <col min="8699" max="8699" width="14.42578125" style="108" bestFit="1" customWidth="1"/>
    <col min="8700" max="8700" width="14" style="108" customWidth="1"/>
    <col min="8701" max="8701" width="13.85546875" style="108" customWidth="1"/>
    <col min="8702" max="8702" width="14" style="108" customWidth="1"/>
    <col min="8703" max="8705" width="13.85546875" style="108" customWidth="1"/>
    <col min="8706" max="8706" width="4.42578125" style="108" customWidth="1"/>
    <col min="8707" max="8707" width="27.140625" style="108" customWidth="1"/>
    <col min="8708" max="8708" width="14.140625" style="108" customWidth="1"/>
    <col min="8709" max="8709" width="14.28515625" style="108" customWidth="1"/>
    <col min="8710" max="8710" width="14" style="108" customWidth="1"/>
    <col min="8711" max="8711" width="13.85546875" style="108" customWidth="1"/>
    <col min="8712" max="8712" width="14" style="108" customWidth="1"/>
    <col min="8713" max="8713" width="13.85546875" style="108" customWidth="1"/>
    <col min="8714" max="8714" width="16.7109375" style="108" customWidth="1"/>
    <col min="8715" max="8715" width="17" style="108" customWidth="1"/>
    <col min="8716" max="8942" width="9.140625" style="108"/>
    <col min="8943" max="8943" width="23.28515625" style="108" customWidth="1"/>
    <col min="8944" max="8944" width="12.7109375" style="108" customWidth="1"/>
    <col min="8945" max="8945" width="14.42578125" style="108" bestFit="1" customWidth="1"/>
    <col min="8946" max="8946" width="14" style="108" customWidth="1"/>
    <col min="8947" max="8947" width="14.42578125" style="108" bestFit="1" customWidth="1"/>
    <col min="8948" max="8948" width="14" style="108" customWidth="1"/>
    <col min="8949" max="8949" width="14" style="108" bestFit="1" customWidth="1"/>
    <col min="8950" max="8950" width="13.140625" style="108" customWidth="1"/>
    <col min="8951" max="8951" width="14.42578125" style="108" bestFit="1" customWidth="1"/>
    <col min="8952" max="8952" width="4.42578125" style="108" customWidth="1"/>
    <col min="8953" max="8953" width="17.5703125" style="108" customWidth="1"/>
    <col min="8954" max="8954" width="14.42578125" style="108" customWidth="1"/>
    <col min="8955" max="8955" width="14.42578125" style="108" bestFit="1" customWidth="1"/>
    <col min="8956" max="8956" width="14" style="108" customWidth="1"/>
    <col min="8957" max="8957" width="13.85546875" style="108" customWidth="1"/>
    <col min="8958" max="8958" width="14" style="108" customWidth="1"/>
    <col min="8959" max="8961" width="13.85546875" style="108" customWidth="1"/>
    <col min="8962" max="8962" width="4.42578125" style="108" customWidth="1"/>
    <col min="8963" max="8963" width="27.140625" style="108" customWidth="1"/>
    <col min="8964" max="8964" width="14.140625" style="108" customWidth="1"/>
    <col min="8965" max="8965" width="14.28515625" style="108" customWidth="1"/>
    <col min="8966" max="8966" width="14" style="108" customWidth="1"/>
    <col min="8967" max="8967" width="13.85546875" style="108" customWidth="1"/>
    <col min="8968" max="8968" width="14" style="108" customWidth="1"/>
    <col min="8969" max="8969" width="13.85546875" style="108" customWidth="1"/>
    <col min="8970" max="8970" width="16.7109375" style="108" customWidth="1"/>
    <col min="8971" max="8971" width="17" style="108" customWidth="1"/>
    <col min="8972" max="9198" width="9.140625" style="108"/>
    <col min="9199" max="9199" width="23.28515625" style="108" customWidth="1"/>
    <col min="9200" max="9200" width="12.7109375" style="108" customWidth="1"/>
    <col min="9201" max="9201" width="14.42578125" style="108" bestFit="1" customWidth="1"/>
    <col min="9202" max="9202" width="14" style="108" customWidth="1"/>
    <col min="9203" max="9203" width="14.42578125" style="108" bestFit="1" customWidth="1"/>
    <col min="9204" max="9204" width="14" style="108" customWidth="1"/>
    <col min="9205" max="9205" width="14" style="108" bestFit="1" customWidth="1"/>
    <col min="9206" max="9206" width="13.140625" style="108" customWidth="1"/>
    <col min="9207" max="9207" width="14.42578125" style="108" bestFit="1" customWidth="1"/>
    <col min="9208" max="9208" width="4.42578125" style="108" customWidth="1"/>
    <col min="9209" max="9209" width="17.5703125" style="108" customWidth="1"/>
    <col min="9210" max="9210" width="14.42578125" style="108" customWidth="1"/>
    <col min="9211" max="9211" width="14.42578125" style="108" bestFit="1" customWidth="1"/>
    <col min="9212" max="9212" width="14" style="108" customWidth="1"/>
    <col min="9213" max="9213" width="13.85546875" style="108" customWidth="1"/>
    <col min="9214" max="9214" width="14" style="108" customWidth="1"/>
    <col min="9215" max="9217" width="13.85546875" style="108" customWidth="1"/>
    <col min="9218" max="9218" width="4.42578125" style="108" customWidth="1"/>
    <col min="9219" max="9219" width="27.140625" style="108" customWidth="1"/>
    <col min="9220" max="9220" width="14.140625" style="108" customWidth="1"/>
    <col min="9221" max="9221" width="14.28515625" style="108" customWidth="1"/>
    <col min="9222" max="9222" width="14" style="108" customWidth="1"/>
    <col min="9223" max="9223" width="13.85546875" style="108" customWidth="1"/>
    <col min="9224" max="9224" width="14" style="108" customWidth="1"/>
    <col min="9225" max="9225" width="13.85546875" style="108" customWidth="1"/>
    <col min="9226" max="9226" width="16.7109375" style="108" customWidth="1"/>
    <col min="9227" max="9227" width="17" style="108" customWidth="1"/>
    <col min="9228" max="9454" width="9.140625" style="108"/>
    <col min="9455" max="9455" width="23.28515625" style="108" customWidth="1"/>
    <col min="9456" max="9456" width="12.7109375" style="108" customWidth="1"/>
    <col min="9457" max="9457" width="14.42578125" style="108" bestFit="1" customWidth="1"/>
    <col min="9458" max="9458" width="14" style="108" customWidth="1"/>
    <col min="9459" max="9459" width="14.42578125" style="108" bestFit="1" customWidth="1"/>
    <col min="9460" max="9460" width="14" style="108" customWidth="1"/>
    <col min="9461" max="9461" width="14" style="108" bestFit="1" customWidth="1"/>
    <col min="9462" max="9462" width="13.140625" style="108" customWidth="1"/>
    <col min="9463" max="9463" width="14.42578125" style="108" bestFit="1" customWidth="1"/>
    <col min="9464" max="9464" width="4.42578125" style="108" customWidth="1"/>
    <col min="9465" max="9465" width="17.5703125" style="108" customWidth="1"/>
    <col min="9466" max="9466" width="14.42578125" style="108" customWidth="1"/>
    <col min="9467" max="9467" width="14.42578125" style="108" bestFit="1" customWidth="1"/>
    <col min="9468" max="9468" width="14" style="108" customWidth="1"/>
    <col min="9469" max="9469" width="13.85546875" style="108" customWidth="1"/>
    <col min="9470" max="9470" width="14" style="108" customWidth="1"/>
    <col min="9471" max="9473" width="13.85546875" style="108" customWidth="1"/>
    <col min="9474" max="9474" width="4.42578125" style="108" customWidth="1"/>
    <col min="9475" max="9475" width="27.140625" style="108" customWidth="1"/>
    <col min="9476" max="9476" width="14.140625" style="108" customWidth="1"/>
    <col min="9477" max="9477" width="14.28515625" style="108" customWidth="1"/>
    <col min="9478" max="9478" width="14" style="108" customWidth="1"/>
    <col min="9479" max="9479" width="13.85546875" style="108" customWidth="1"/>
    <col min="9480" max="9480" width="14" style="108" customWidth="1"/>
    <col min="9481" max="9481" width="13.85546875" style="108" customWidth="1"/>
    <col min="9482" max="9482" width="16.7109375" style="108" customWidth="1"/>
    <col min="9483" max="9483" width="17" style="108" customWidth="1"/>
    <col min="9484" max="9710" width="9.140625" style="108"/>
    <col min="9711" max="9711" width="23.28515625" style="108" customWidth="1"/>
    <col min="9712" max="9712" width="12.7109375" style="108" customWidth="1"/>
    <col min="9713" max="9713" width="14.42578125" style="108" bestFit="1" customWidth="1"/>
    <col min="9714" max="9714" width="14" style="108" customWidth="1"/>
    <col min="9715" max="9715" width="14.42578125" style="108" bestFit="1" customWidth="1"/>
    <col min="9716" max="9716" width="14" style="108" customWidth="1"/>
    <col min="9717" max="9717" width="14" style="108" bestFit="1" customWidth="1"/>
    <col min="9718" max="9718" width="13.140625" style="108" customWidth="1"/>
    <col min="9719" max="9719" width="14.42578125" style="108" bestFit="1" customWidth="1"/>
    <col min="9720" max="9720" width="4.42578125" style="108" customWidth="1"/>
    <col min="9721" max="9721" width="17.5703125" style="108" customWidth="1"/>
    <col min="9722" max="9722" width="14.42578125" style="108" customWidth="1"/>
    <col min="9723" max="9723" width="14.42578125" style="108" bestFit="1" customWidth="1"/>
    <col min="9724" max="9724" width="14" style="108" customWidth="1"/>
    <col min="9725" max="9725" width="13.85546875" style="108" customWidth="1"/>
    <col min="9726" max="9726" width="14" style="108" customWidth="1"/>
    <col min="9727" max="9729" width="13.85546875" style="108" customWidth="1"/>
    <col min="9730" max="9730" width="4.42578125" style="108" customWidth="1"/>
    <col min="9731" max="9731" width="27.140625" style="108" customWidth="1"/>
    <col min="9732" max="9732" width="14.140625" style="108" customWidth="1"/>
    <col min="9733" max="9733" width="14.28515625" style="108" customWidth="1"/>
    <col min="9734" max="9734" width="14" style="108" customWidth="1"/>
    <col min="9735" max="9735" width="13.85546875" style="108" customWidth="1"/>
    <col min="9736" max="9736" width="14" style="108" customWidth="1"/>
    <col min="9737" max="9737" width="13.85546875" style="108" customWidth="1"/>
    <col min="9738" max="9738" width="16.7109375" style="108" customWidth="1"/>
    <col min="9739" max="9739" width="17" style="108" customWidth="1"/>
    <col min="9740" max="9966" width="9.140625" style="108"/>
    <col min="9967" max="9967" width="23.28515625" style="108" customWidth="1"/>
    <col min="9968" max="9968" width="12.7109375" style="108" customWidth="1"/>
    <col min="9969" max="9969" width="14.42578125" style="108" bestFit="1" customWidth="1"/>
    <col min="9970" max="9970" width="14" style="108" customWidth="1"/>
    <col min="9971" max="9971" width="14.42578125" style="108" bestFit="1" customWidth="1"/>
    <col min="9972" max="9972" width="14" style="108" customWidth="1"/>
    <col min="9973" max="9973" width="14" style="108" bestFit="1" customWidth="1"/>
    <col min="9974" max="9974" width="13.140625" style="108" customWidth="1"/>
    <col min="9975" max="9975" width="14.42578125" style="108" bestFit="1" customWidth="1"/>
    <col min="9976" max="9976" width="4.42578125" style="108" customWidth="1"/>
    <col min="9977" max="9977" width="17.5703125" style="108" customWidth="1"/>
    <col min="9978" max="9978" width="14.42578125" style="108" customWidth="1"/>
    <col min="9979" max="9979" width="14.42578125" style="108" bestFit="1" customWidth="1"/>
    <col min="9980" max="9980" width="14" style="108" customWidth="1"/>
    <col min="9981" max="9981" width="13.85546875" style="108" customWidth="1"/>
    <col min="9982" max="9982" width="14" style="108" customWidth="1"/>
    <col min="9983" max="9985" width="13.85546875" style="108" customWidth="1"/>
    <col min="9986" max="9986" width="4.42578125" style="108" customWidth="1"/>
    <col min="9987" max="9987" width="27.140625" style="108" customWidth="1"/>
    <col min="9988" max="9988" width="14.140625" style="108" customWidth="1"/>
    <col min="9989" max="9989" width="14.28515625" style="108" customWidth="1"/>
    <col min="9990" max="9990" width="14" style="108" customWidth="1"/>
    <col min="9991" max="9991" width="13.85546875" style="108" customWidth="1"/>
    <col min="9992" max="9992" width="14" style="108" customWidth="1"/>
    <col min="9993" max="9993" width="13.85546875" style="108" customWidth="1"/>
    <col min="9994" max="9994" width="16.7109375" style="108" customWidth="1"/>
    <col min="9995" max="9995" width="17" style="108" customWidth="1"/>
    <col min="9996" max="10222" width="9.140625" style="108"/>
    <col min="10223" max="10223" width="23.28515625" style="108" customWidth="1"/>
    <col min="10224" max="10224" width="12.7109375" style="108" customWidth="1"/>
    <col min="10225" max="10225" width="14.42578125" style="108" bestFit="1" customWidth="1"/>
    <col min="10226" max="10226" width="14" style="108" customWidth="1"/>
    <col min="10227" max="10227" width="14.42578125" style="108" bestFit="1" customWidth="1"/>
    <col min="10228" max="10228" width="14" style="108" customWidth="1"/>
    <col min="10229" max="10229" width="14" style="108" bestFit="1" customWidth="1"/>
    <col min="10230" max="10230" width="13.140625" style="108" customWidth="1"/>
    <col min="10231" max="10231" width="14.42578125" style="108" bestFit="1" customWidth="1"/>
    <col min="10232" max="10232" width="4.42578125" style="108" customWidth="1"/>
    <col min="10233" max="10233" width="17.5703125" style="108" customWidth="1"/>
    <col min="10234" max="10234" width="14.42578125" style="108" customWidth="1"/>
    <col min="10235" max="10235" width="14.42578125" style="108" bestFit="1" customWidth="1"/>
    <col min="10236" max="10236" width="14" style="108" customWidth="1"/>
    <col min="10237" max="10237" width="13.85546875" style="108" customWidth="1"/>
    <col min="10238" max="10238" width="14" style="108" customWidth="1"/>
    <col min="10239" max="10241" width="13.85546875" style="108" customWidth="1"/>
    <col min="10242" max="10242" width="4.42578125" style="108" customWidth="1"/>
    <col min="10243" max="10243" width="27.140625" style="108" customWidth="1"/>
    <col min="10244" max="10244" width="14.140625" style="108" customWidth="1"/>
    <col min="10245" max="10245" width="14.28515625" style="108" customWidth="1"/>
    <col min="10246" max="10246" width="14" style="108" customWidth="1"/>
    <col min="10247" max="10247" width="13.85546875" style="108" customWidth="1"/>
    <col min="10248" max="10248" width="14" style="108" customWidth="1"/>
    <col min="10249" max="10249" width="13.85546875" style="108" customWidth="1"/>
    <col min="10250" max="10250" width="16.7109375" style="108" customWidth="1"/>
    <col min="10251" max="10251" width="17" style="108" customWidth="1"/>
    <col min="10252" max="10478" width="9.140625" style="108"/>
    <col min="10479" max="10479" width="23.28515625" style="108" customWidth="1"/>
    <col min="10480" max="10480" width="12.7109375" style="108" customWidth="1"/>
    <col min="10481" max="10481" width="14.42578125" style="108" bestFit="1" customWidth="1"/>
    <col min="10482" max="10482" width="14" style="108" customWidth="1"/>
    <col min="10483" max="10483" width="14.42578125" style="108" bestFit="1" customWidth="1"/>
    <col min="10484" max="10484" width="14" style="108" customWidth="1"/>
    <col min="10485" max="10485" width="14" style="108" bestFit="1" customWidth="1"/>
    <col min="10486" max="10486" width="13.140625" style="108" customWidth="1"/>
    <col min="10487" max="10487" width="14.42578125" style="108" bestFit="1" customWidth="1"/>
    <col min="10488" max="10488" width="4.42578125" style="108" customWidth="1"/>
    <col min="10489" max="10489" width="17.5703125" style="108" customWidth="1"/>
    <col min="10490" max="10490" width="14.42578125" style="108" customWidth="1"/>
    <col min="10491" max="10491" width="14.42578125" style="108" bestFit="1" customWidth="1"/>
    <col min="10492" max="10492" width="14" style="108" customWidth="1"/>
    <col min="10493" max="10493" width="13.85546875" style="108" customWidth="1"/>
    <col min="10494" max="10494" width="14" style="108" customWidth="1"/>
    <col min="10495" max="10497" width="13.85546875" style="108" customWidth="1"/>
    <col min="10498" max="10498" width="4.42578125" style="108" customWidth="1"/>
    <col min="10499" max="10499" width="27.140625" style="108" customWidth="1"/>
    <col min="10500" max="10500" width="14.140625" style="108" customWidth="1"/>
    <col min="10501" max="10501" width="14.28515625" style="108" customWidth="1"/>
    <col min="10502" max="10502" width="14" style="108" customWidth="1"/>
    <col min="10503" max="10503" width="13.85546875" style="108" customWidth="1"/>
    <col min="10504" max="10504" width="14" style="108" customWidth="1"/>
    <col min="10505" max="10505" width="13.85546875" style="108" customWidth="1"/>
    <col min="10506" max="10506" width="16.7109375" style="108" customWidth="1"/>
    <col min="10507" max="10507" width="17" style="108" customWidth="1"/>
    <col min="10508" max="10734" width="9.140625" style="108"/>
    <col min="10735" max="10735" width="23.28515625" style="108" customWidth="1"/>
    <col min="10736" max="10736" width="12.7109375" style="108" customWidth="1"/>
    <col min="10737" max="10737" width="14.42578125" style="108" bestFit="1" customWidth="1"/>
    <col min="10738" max="10738" width="14" style="108" customWidth="1"/>
    <col min="10739" max="10739" width="14.42578125" style="108" bestFit="1" customWidth="1"/>
    <col min="10740" max="10740" width="14" style="108" customWidth="1"/>
    <col min="10741" max="10741" width="14" style="108" bestFit="1" customWidth="1"/>
    <col min="10742" max="10742" width="13.140625" style="108" customWidth="1"/>
    <col min="10743" max="10743" width="14.42578125" style="108" bestFit="1" customWidth="1"/>
    <col min="10744" max="10744" width="4.42578125" style="108" customWidth="1"/>
    <col min="10745" max="10745" width="17.5703125" style="108" customWidth="1"/>
    <col min="10746" max="10746" width="14.42578125" style="108" customWidth="1"/>
    <col min="10747" max="10747" width="14.42578125" style="108" bestFit="1" customWidth="1"/>
    <col min="10748" max="10748" width="14" style="108" customWidth="1"/>
    <col min="10749" max="10749" width="13.85546875" style="108" customWidth="1"/>
    <col min="10750" max="10750" width="14" style="108" customWidth="1"/>
    <col min="10751" max="10753" width="13.85546875" style="108" customWidth="1"/>
    <col min="10754" max="10754" width="4.42578125" style="108" customWidth="1"/>
    <col min="10755" max="10755" width="27.140625" style="108" customWidth="1"/>
    <col min="10756" max="10756" width="14.140625" style="108" customWidth="1"/>
    <col min="10757" max="10757" width="14.28515625" style="108" customWidth="1"/>
    <col min="10758" max="10758" width="14" style="108" customWidth="1"/>
    <col min="10759" max="10759" width="13.85546875" style="108" customWidth="1"/>
    <col min="10760" max="10760" width="14" style="108" customWidth="1"/>
    <col min="10761" max="10761" width="13.85546875" style="108" customWidth="1"/>
    <col min="10762" max="10762" width="16.7109375" style="108" customWidth="1"/>
    <col min="10763" max="10763" width="17" style="108" customWidth="1"/>
    <col min="10764" max="10990" width="9.140625" style="108"/>
    <col min="10991" max="10991" width="23.28515625" style="108" customWidth="1"/>
    <col min="10992" max="10992" width="12.7109375" style="108" customWidth="1"/>
    <col min="10993" max="10993" width="14.42578125" style="108" bestFit="1" customWidth="1"/>
    <col min="10994" max="10994" width="14" style="108" customWidth="1"/>
    <col min="10995" max="10995" width="14.42578125" style="108" bestFit="1" customWidth="1"/>
    <col min="10996" max="10996" width="14" style="108" customWidth="1"/>
    <col min="10997" max="10997" width="14" style="108" bestFit="1" customWidth="1"/>
    <col min="10998" max="10998" width="13.140625" style="108" customWidth="1"/>
    <col min="10999" max="10999" width="14.42578125" style="108" bestFit="1" customWidth="1"/>
    <col min="11000" max="11000" width="4.42578125" style="108" customWidth="1"/>
    <col min="11001" max="11001" width="17.5703125" style="108" customWidth="1"/>
    <col min="11002" max="11002" width="14.42578125" style="108" customWidth="1"/>
    <col min="11003" max="11003" width="14.42578125" style="108" bestFit="1" customWidth="1"/>
    <col min="11004" max="11004" width="14" style="108" customWidth="1"/>
    <col min="11005" max="11005" width="13.85546875" style="108" customWidth="1"/>
    <col min="11006" max="11006" width="14" style="108" customWidth="1"/>
    <col min="11007" max="11009" width="13.85546875" style="108" customWidth="1"/>
    <col min="11010" max="11010" width="4.42578125" style="108" customWidth="1"/>
    <col min="11011" max="11011" width="27.140625" style="108" customWidth="1"/>
    <col min="11012" max="11012" width="14.140625" style="108" customWidth="1"/>
    <col min="11013" max="11013" width="14.28515625" style="108" customWidth="1"/>
    <col min="11014" max="11014" width="14" style="108" customWidth="1"/>
    <col min="11015" max="11015" width="13.85546875" style="108" customWidth="1"/>
    <col min="11016" max="11016" width="14" style="108" customWidth="1"/>
    <col min="11017" max="11017" width="13.85546875" style="108" customWidth="1"/>
    <col min="11018" max="11018" width="16.7109375" style="108" customWidth="1"/>
    <col min="11019" max="11019" width="17" style="108" customWidth="1"/>
    <col min="11020" max="11246" width="9.140625" style="108"/>
    <col min="11247" max="11247" width="23.28515625" style="108" customWidth="1"/>
    <col min="11248" max="11248" width="12.7109375" style="108" customWidth="1"/>
    <col min="11249" max="11249" width="14.42578125" style="108" bestFit="1" customWidth="1"/>
    <col min="11250" max="11250" width="14" style="108" customWidth="1"/>
    <col min="11251" max="11251" width="14.42578125" style="108" bestFit="1" customWidth="1"/>
    <col min="11252" max="11252" width="14" style="108" customWidth="1"/>
    <col min="11253" max="11253" width="14" style="108" bestFit="1" customWidth="1"/>
    <col min="11254" max="11254" width="13.140625" style="108" customWidth="1"/>
    <col min="11255" max="11255" width="14.42578125" style="108" bestFit="1" customWidth="1"/>
    <col min="11256" max="11256" width="4.42578125" style="108" customWidth="1"/>
    <col min="11257" max="11257" width="17.5703125" style="108" customWidth="1"/>
    <col min="11258" max="11258" width="14.42578125" style="108" customWidth="1"/>
    <col min="11259" max="11259" width="14.42578125" style="108" bestFit="1" customWidth="1"/>
    <col min="11260" max="11260" width="14" style="108" customWidth="1"/>
    <col min="11261" max="11261" width="13.85546875" style="108" customWidth="1"/>
    <col min="11262" max="11262" width="14" style="108" customWidth="1"/>
    <col min="11263" max="11265" width="13.85546875" style="108" customWidth="1"/>
    <col min="11266" max="11266" width="4.42578125" style="108" customWidth="1"/>
    <col min="11267" max="11267" width="27.140625" style="108" customWidth="1"/>
    <col min="11268" max="11268" width="14.140625" style="108" customWidth="1"/>
    <col min="11269" max="11269" width="14.28515625" style="108" customWidth="1"/>
    <col min="11270" max="11270" width="14" style="108" customWidth="1"/>
    <col min="11271" max="11271" width="13.85546875" style="108" customWidth="1"/>
    <col min="11272" max="11272" width="14" style="108" customWidth="1"/>
    <col min="11273" max="11273" width="13.85546875" style="108" customWidth="1"/>
    <col min="11274" max="11274" width="16.7109375" style="108" customWidth="1"/>
    <col min="11275" max="11275" width="17" style="108" customWidth="1"/>
    <col min="11276" max="11502" width="9.140625" style="108"/>
    <col min="11503" max="11503" width="23.28515625" style="108" customWidth="1"/>
    <col min="11504" max="11504" width="12.7109375" style="108" customWidth="1"/>
    <col min="11505" max="11505" width="14.42578125" style="108" bestFit="1" customWidth="1"/>
    <col min="11506" max="11506" width="14" style="108" customWidth="1"/>
    <col min="11507" max="11507" width="14.42578125" style="108" bestFit="1" customWidth="1"/>
    <col min="11508" max="11508" width="14" style="108" customWidth="1"/>
    <col min="11509" max="11509" width="14" style="108" bestFit="1" customWidth="1"/>
    <col min="11510" max="11510" width="13.140625" style="108" customWidth="1"/>
    <col min="11511" max="11511" width="14.42578125" style="108" bestFit="1" customWidth="1"/>
    <col min="11512" max="11512" width="4.42578125" style="108" customWidth="1"/>
    <col min="11513" max="11513" width="17.5703125" style="108" customWidth="1"/>
    <col min="11514" max="11514" width="14.42578125" style="108" customWidth="1"/>
    <col min="11515" max="11515" width="14.42578125" style="108" bestFit="1" customWidth="1"/>
    <col min="11516" max="11516" width="14" style="108" customWidth="1"/>
    <col min="11517" max="11517" width="13.85546875" style="108" customWidth="1"/>
    <col min="11518" max="11518" width="14" style="108" customWidth="1"/>
    <col min="11519" max="11521" width="13.85546875" style="108" customWidth="1"/>
    <col min="11522" max="11522" width="4.42578125" style="108" customWidth="1"/>
    <col min="11523" max="11523" width="27.140625" style="108" customWidth="1"/>
    <col min="11524" max="11524" width="14.140625" style="108" customWidth="1"/>
    <col min="11525" max="11525" width="14.28515625" style="108" customWidth="1"/>
    <col min="11526" max="11526" width="14" style="108" customWidth="1"/>
    <col min="11527" max="11527" width="13.85546875" style="108" customWidth="1"/>
    <col min="11528" max="11528" width="14" style="108" customWidth="1"/>
    <col min="11529" max="11529" width="13.85546875" style="108" customWidth="1"/>
    <col min="11530" max="11530" width="16.7109375" style="108" customWidth="1"/>
    <col min="11531" max="11531" width="17" style="108" customWidth="1"/>
    <col min="11532" max="11758" width="9.140625" style="108"/>
    <col min="11759" max="11759" width="23.28515625" style="108" customWidth="1"/>
    <col min="11760" max="11760" width="12.7109375" style="108" customWidth="1"/>
    <col min="11761" max="11761" width="14.42578125" style="108" bestFit="1" customWidth="1"/>
    <col min="11762" max="11762" width="14" style="108" customWidth="1"/>
    <col min="11763" max="11763" width="14.42578125" style="108" bestFit="1" customWidth="1"/>
    <col min="11764" max="11764" width="14" style="108" customWidth="1"/>
    <col min="11765" max="11765" width="14" style="108" bestFit="1" customWidth="1"/>
    <col min="11766" max="11766" width="13.140625" style="108" customWidth="1"/>
    <col min="11767" max="11767" width="14.42578125" style="108" bestFit="1" customWidth="1"/>
    <col min="11768" max="11768" width="4.42578125" style="108" customWidth="1"/>
    <col min="11769" max="11769" width="17.5703125" style="108" customWidth="1"/>
    <col min="11770" max="11770" width="14.42578125" style="108" customWidth="1"/>
    <col min="11771" max="11771" width="14.42578125" style="108" bestFit="1" customWidth="1"/>
    <col min="11772" max="11772" width="14" style="108" customWidth="1"/>
    <col min="11773" max="11773" width="13.85546875" style="108" customWidth="1"/>
    <col min="11774" max="11774" width="14" style="108" customWidth="1"/>
    <col min="11775" max="11777" width="13.85546875" style="108" customWidth="1"/>
    <col min="11778" max="11778" width="4.42578125" style="108" customWidth="1"/>
    <col min="11779" max="11779" width="27.140625" style="108" customWidth="1"/>
    <col min="11780" max="11780" width="14.140625" style="108" customWidth="1"/>
    <col min="11781" max="11781" width="14.28515625" style="108" customWidth="1"/>
    <col min="11782" max="11782" width="14" style="108" customWidth="1"/>
    <col min="11783" max="11783" width="13.85546875" style="108" customWidth="1"/>
    <col min="11784" max="11784" width="14" style="108" customWidth="1"/>
    <col min="11785" max="11785" width="13.85546875" style="108" customWidth="1"/>
    <col min="11786" max="11786" width="16.7109375" style="108" customWidth="1"/>
    <col min="11787" max="11787" width="17" style="108" customWidth="1"/>
    <col min="11788" max="12014" width="9.140625" style="108"/>
    <col min="12015" max="12015" width="23.28515625" style="108" customWidth="1"/>
    <col min="12016" max="12016" width="12.7109375" style="108" customWidth="1"/>
    <col min="12017" max="12017" width="14.42578125" style="108" bestFit="1" customWidth="1"/>
    <col min="12018" max="12018" width="14" style="108" customWidth="1"/>
    <col min="12019" max="12019" width="14.42578125" style="108" bestFit="1" customWidth="1"/>
    <col min="12020" max="12020" width="14" style="108" customWidth="1"/>
    <col min="12021" max="12021" width="14" style="108" bestFit="1" customWidth="1"/>
    <col min="12022" max="12022" width="13.140625" style="108" customWidth="1"/>
    <col min="12023" max="12023" width="14.42578125" style="108" bestFit="1" customWidth="1"/>
    <col min="12024" max="12024" width="4.42578125" style="108" customWidth="1"/>
    <col min="12025" max="12025" width="17.5703125" style="108" customWidth="1"/>
    <col min="12026" max="12026" width="14.42578125" style="108" customWidth="1"/>
    <col min="12027" max="12027" width="14.42578125" style="108" bestFit="1" customWidth="1"/>
    <col min="12028" max="12028" width="14" style="108" customWidth="1"/>
    <col min="12029" max="12029" width="13.85546875" style="108" customWidth="1"/>
    <col min="12030" max="12030" width="14" style="108" customWidth="1"/>
    <col min="12031" max="12033" width="13.85546875" style="108" customWidth="1"/>
    <col min="12034" max="12034" width="4.42578125" style="108" customWidth="1"/>
    <col min="12035" max="12035" width="27.140625" style="108" customWidth="1"/>
    <col min="12036" max="12036" width="14.140625" style="108" customWidth="1"/>
    <col min="12037" max="12037" width="14.28515625" style="108" customWidth="1"/>
    <col min="12038" max="12038" width="14" style="108" customWidth="1"/>
    <col min="12039" max="12039" width="13.85546875" style="108" customWidth="1"/>
    <col min="12040" max="12040" width="14" style="108" customWidth="1"/>
    <col min="12041" max="12041" width="13.85546875" style="108" customWidth="1"/>
    <col min="12042" max="12042" width="16.7109375" style="108" customWidth="1"/>
    <col min="12043" max="12043" width="17" style="108" customWidth="1"/>
    <col min="12044" max="12270" width="9.140625" style="108"/>
    <col min="12271" max="12271" width="23.28515625" style="108" customWidth="1"/>
    <col min="12272" max="12272" width="12.7109375" style="108" customWidth="1"/>
    <col min="12273" max="12273" width="14.42578125" style="108" bestFit="1" customWidth="1"/>
    <col min="12274" max="12274" width="14" style="108" customWidth="1"/>
    <col min="12275" max="12275" width="14.42578125" style="108" bestFit="1" customWidth="1"/>
    <col min="12276" max="12276" width="14" style="108" customWidth="1"/>
    <col min="12277" max="12277" width="14" style="108" bestFit="1" customWidth="1"/>
    <col min="12278" max="12278" width="13.140625" style="108" customWidth="1"/>
    <col min="12279" max="12279" width="14.42578125" style="108" bestFit="1" customWidth="1"/>
    <col min="12280" max="12280" width="4.42578125" style="108" customWidth="1"/>
    <col min="12281" max="12281" width="17.5703125" style="108" customWidth="1"/>
    <col min="12282" max="12282" width="14.42578125" style="108" customWidth="1"/>
    <col min="12283" max="12283" width="14.42578125" style="108" bestFit="1" customWidth="1"/>
    <col min="12284" max="12284" width="14" style="108" customWidth="1"/>
    <col min="12285" max="12285" width="13.85546875" style="108" customWidth="1"/>
    <col min="12286" max="12286" width="14" style="108" customWidth="1"/>
    <col min="12287" max="12289" width="13.85546875" style="108" customWidth="1"/>
    <col min="12290" max="12290" width="4.42578125" style="108" customWidth="1"/>
    <col min="12291" max="12291" width="27.140625" style="108" customWidth="1"/>
    <col min="12292" max="12292" width="14.140625" style="108" customWidth="1"/>
    <col min="12293" max="12293" width="14.28515625" style="108" customWidth="1"/>
    <col min="12294" max="12294" width="14" style="108" customWidth="1"/>
    <col min="12295" max="12295" width="13.85546875" style="108" customWidth="1"/>
    <col min="12296" max="12296" width="14" style="108" customWidth="1"/>
    <col min="12297" max="12297" width="13.85546875" style="108" customWidth="1"/>
    <col min="12298" max="12298" width="16.7109375" style="108" customWidth="1"/>
    <col min="12299" max="12299" width="17" style="108" customWidth="1"/>
    <col min="12300" max="12526" width="9.140625" style="108"/>
    <col min="12527" max="12527" width="23.28515625" style="108" customWidth="1"/>
    <col min="12528" max="12528" width="12.7109375" style="108" customWidth="1"/>
    <col min="12529" max="12529" width="14.42578125" style="108" bestFit="1" customWidth="1"/>
    <col min="12530" max="12530" width="14" style="108" customWidth="1"/>
    <col min="12531" max="12531" width="14.42578125" style="108" bestFit="1" customWidth="1"/>
    <col min="12532" max="12532" width="14" style="108" customWidth="1"/>
    <col min="12533" max="12533" width="14" style="108" bestFit="1" customWidth="1"/>
    <col min="12534" max="12534" width="13.140625" style="108" customWidth="1"/>
    <col min="12535" max="12535" width="14.42578125" style="108" bestFit="1" customWidth="1"/>
    <col min="12536" max="12536" width="4.42578125" style="108" customWidth="1"/>
    <col min="12537" max="12537" width="17.5703125" style="108" customWidth="1"/>
    <col min="12538" max="12538" width="14.42578125" style="108" customWidth="1"/>
    <col min="12539" max="12539" width="14.42578125" style="108" bestFit="1" customWidth="1"/>
    <col min="12540" max="12540" width="14" style="108" customWidth="1"/>
    <col min="12541" max="12541" width="13.85546875" style="108" customWidth="1"/>
    <col min="12542" max="12542" width="14" style="108" customWidth="1"/>
    <col min="12543" max="12545" width="13.85546875" style="108" customWidth="1"/>
    <col min="12546" max="12546" width="4.42578125" style="108" customWidth="1"/>
    <col min="12547" max="12547" width="27.140625" style="108" customWidth="1"/>
    <col min="12548" max="12548" width="14.140625" style="108" customWidth="1"/>
    <col min="12549" max="12549" width="14.28515625" style="108" customWidth="1"/>
    <col min="12550" max="12550" width="14" style="108" customWidth="1"/>
    <col min="12551" max="12551" width="13.85546875" style="108" customWidth="1"/>
    <col min="12552" max="12552" width="14" style="108" customWidth="1"/>
    <col min="12553" max="12553" width="13.85546875" style="108" customWidth="1"/>
    <col min="12554" max="12554" width="16.7109375" style="108" customWidth="1"/>
    <col min="12555" max="12555" width="17" style="108" customWidth="1"/>
    <col min="12556" max="12782" width="9.140625" style="108"/>
    <col min="12783" max="12783" width="23.28515625" style="108" customWidth="1"/>
    <col min="12784" max="12784" width="12.7109375" style="108" customWidth="1"/>
    <col min="12785" max="12785" width="14.42578125" style="108" bestFit="1" customWidth="1"/>
    <col min="12786" max="12786" width="14" style="108" customWidth="1"/>
    <col min="12787" max="12787" width="14.42578125" style="108" bestFit="1" customWidth="1"/>
    <col min="12788" max="12788" width="14" style="108" customWidth="1"/>
    <col min="12789" max="12789" width="14" style="108" bestFit="1" customWidth="1"/>
    <col min="12790" max="12790" width="13.140625" style="108" customWidth="1"/>
    <col min="12791" max="12791" width="14.42578125" style="108" bestFit="1" customWidth="1"/>
    <col min="12792" max="12792" width="4.42578125" style="108" customWidth="1"/>
    <col min="12793" max="12793" width="17.5703125" style="108" customWidth="1"/>
    <col min="12794" max="12794" width="14.42578125" style="108" customWidth="1"/>
    <col min="12795" max="12795" width="14.42578125" style="108" bestFit="1" customWidth="1"/>
    <col min="12796" max="12796" width="14" style="108" customWidth="1"/>
    <col min="12797" max="12797" width="13.85546875" style="108" customWidth="1"/>
    <col min="12798" max="12798" width="14" style="108" customWidth="1"/>
    <col min="12799" max="12801" width="13.85546875" style="108" customWidth="1"/>
    <col min="12802" max="12802" width="4.42578125" style="108" customWidth="1"/>
    <col min="12803" max="12803" width="27.140625" style="108" customWidth="1"/>
    <col min="12804" max="12804" width="14.140625" style="108" customWidth="1"/>
    <col min="12805" max="12805" width="14.28515625" style="108" customWidth="1"/>
    <col min="12806" max="12806" width="14" style="108" customWidth="1"/>
    <col min="12807" max="12807" width="13.85546875" style="108" customWidth="1"/>
    <col min="12808" max="12808" width="14" style="108" customWidth="1"/>
    <col min="12809" max="12809" width="13.85546875" style="108" customWidth="1"/>
    <col min="12810" max="12810" width="16.7109375" style="108" customWidth="1"/>
    <col min="12811" max="12811" width="17" style="108" customWidth="1"/>
    <col min="12812" max="13038" width="9.140625" style="108"/>
    <col min="13039" max="13039" width="23.28515625" style="108" customWidth="1"/>
    <col min="13040" max="13040" width="12.7109375" style="108" customWidth="1"/>
    <col min="13041" max="13041" width="14.42578125" style="108" bestFit="1" customWidth="1"/>
    <col min="13042" max="13042" width="14" style="108" customWidth="1"/>
    <col min="13043" max="13043" width="14.42578125" style="108" bestFit="1" customWidth="1"/>
    <col min="13044" max="13044" width="14" style="108" customWidth="1"/>
    <col min="13045" max="13045" width="14" style="108" bestFit="1" customWidth="1"/>
    <col min="13046" max="13046" width="13.140625" style="108" customWidth="1"/>
    <col min="13047" max="13047" width="14.42578125" style="108" bestFit="1" customWidth="1"/>
    <col min="13048" max="13048" width="4.42578125" style="108" customWidth="1"/>
    <col min="13049" max="13049" width="17.5703125" style="108" customWidth="1"/>
    <col min="13050" max="13050" width="14.42578125" style="108" customWidth="1"/>
    <col min="13051" max="13051" width="14.42578125" style="108" bestFit="1" customWidth="1"/>
    <col min="13052" max="13052" width="14" style="108" customWidth="1"/>
    <col min="13053" max="13053" width="13.85546875" style="108" customWidth="1"/>
    <col min="13054" max="13054" width="14" style="108" customWidth="1"/>
    <col min="13055" max="13057" width="13.85546875" style="108" customWidth="1"/>
    <col min="13058" max="13058" width="4.42578125" style="108" customWidth="1"/>
    <col min="13059" max="13059" width="27.140625" style="108" customWidth="1"/>
    <col min="13060" max="13060" width="14.140625" style="108" customWidth="1"/>
    <col min="13061" max="13061" width="14.28515625" style="108" customWidth="1"/>
    <col min="13062" max="13062" width="14" style="108" customWidth="1"/>
    <col min="13063" max="13063" width="13.85546875" style="108" customWidth="1"/>
    <col min="13064" max="13064" width="14" style="108" customWidth="1"/>
    <col min="13065" max="13065" width="13.85546875" style="108" customWidth="1"/>
    <col min="13066" max="13066" width="16.7109375" style="108" customWidth="1"/>
    <col min="13067" max="13067" width="17" style="108" customWidth="1"/>
    <col min="13068" max="13294" width="9.140625" style="108"/>
    <col min="13295" max="13295" width="23.28515625" style="108" customWidth="1"/>
    <col min="13296" max="13296" width="12.7109375" style="108" customWidth="1"/>
    <col min="13297" max="13297" width="14.42578125" style="108" bestFit="1" customWidth="1"/>
    <col min="13298" max="13298" width="14" style="108" customWidth="1"/>
    <col min="13299" max="13299" width="14.42578125" style="108" bestFit="1" customWidth="1"/>
    <col min="13300" max="13300" width="14" style="108" customWidth="1"/>
    <col min="13301" max="13301" width="14" style="108" bestFit="1" customWidth="1"/>
    <col min="13302" max="13302" width="13.140625" style="108" customWidth="1"/>
    <col min="13303" max="13303" width="14.42578125" style="108" bestFit="1" customWidth="1"/>
    <col min="13304" max="13304" width="4.42578125" style="108" customWidth="1"/>
    <col min="13305" max="13305" width="17.5703125" style="108" customWidth="1"/>
    <col min="13306" max="13306" width="14.42578125" style="108" customWidth="1"/>
    <col min="13307" max="13307" width="14.42578125" style="108" bestFit="1" customWidth="1"/>
    <col min="13308" max="13308" width="14" style="108" customWidth="1"/>
    <col min="13309" max="13309" width="13.85546875" style="108" customWidth="1"/>
    <col min="13310" max="13310" width="14" style="108" customWidth="1"/>
    <col min="13311" max="13313" width="13.85546875" style="108" customWidth="1"/>
    <col min="13314" max="13314" width="4.42578125" style="108" customWidth="1"/>
    <col min="13315" max="13315" width="27.140625" style="108" customWidth="1"/>
    <col min="13316" max="13316" width="14.140625" style="108" customWidth="1"/>
    <col min="13317" max="13317" width="14.28515625" style="108" customWidth="1"/>
    <col min="13318" max="13318" width="14" style="108" customWidth="1"/>
    <col min="13319" max="13319" width="13.85546875" style="108" customWidth="1"/>
    <col min="13320" max="13320" width="14" style="108" customWidth="1"/>
    <col min="13321" max="13321" width="13.85546875" style="108" customWidth="1"/>
    <col min="13322" max="13322" width="16.7109375" style="108" customWidth="1"/>
    <col min="13323" max="13323" width="17" style="108" customWidth="1"/>
    <col min="13324" max="13550" width="9.140625" style="108"/>
    <col min="13551" max="13551" width="23.28515625" style="108" customWidth="1"/>
    <col min="13552" max="13552" width="12.7109375" style="108" customWidth="1"/>
    <col min="13553" max="13553" width="14.42578125" style="108" bestFit="1" customWidth="1"/>
    <col min="13554" max="13554" width="14" style="108" customWidth="1"/>
    <col min="13555" max="13555" width="14.42578125" style="108" bestFit="1" customWidth="1"/>
    <col min="13556" max="13556" width="14" style="108" customWidth="1"/>
    <col min="13557" max="13557" width="14" style="108" bestFit="1" customWidth="1"/>
    <col min="13558" max="13558" width="13.140625" style="108" customWidth="1"/>
    <col min="13559" max="13559" width="14.42578125" style="108" bestFit="1" customWidth="1"/>
    <col min="13560" max="13560" width="4.42578125" style="108" customWidth="1"/>
    <col min="13561" max="13561" width="17.5703125" style="108" customWidth="1"/>
    <col min="13562" max="13562" width="14.42578125" style="108" customWidth="1"/>
    <col min="13563" max="13563" width="14.42578125" style="108" bestFit="1" customWidth="1"/>
    <col min="13564" max="13564" width="14" style="108" customWidth="1"/>
    <col min="13565" max="13565" width="13.85546875" style="108" customWidth="1"/>
    <col min="13566" max="13566" width="14" style="108" customWidth="1"/>
    <col min="13567" max="13569" width="13.85546875" style="108" customWidth="1"/>
    <col min="13570" max="13570" width="4.42578125" style="108" customWidth="1"/>
    <col min="13571" max="13571" width="27.140625" style="108" customWidth="1"/>
    <col min="13572" max="13572" width="14.140625" style="108" customWidth="1"/>
    <col min="13573" max="13573" width="14.28515625" style="108" customWidth="1"/>
    <col min="13574" max="13574" width="14" style="108" customWidth="1"/>
    <col min="13575" max="13575" width="13.85546875" style="108" customWidth="1"/>
    <col min="13576" max="13576" width="14" style="108" customWidth="1"/>
    <col min="13577" max="13577" width="13.85546875" style="108" customWidth="1"/>
    <col min="13578" max="13578" width="16.7109375" style="108" customWidth="1"/>
    <col min="13579" max="13579" width="17" style="108" customWidth="1"/>
    <col min="13580" max="13806" width="9.140625" style="108"/>
    <col min="13807" max="13807" width="23.28515625" style="108" customWidth="1"/>
    <col min="13808" max="13808" width="12.7109375" style="108" customWidth="1"/>
    <col min="13809" max="13809" width="14.42578125" style="108" bestFit="1" customWidth="1"/>
    <col min="13810" max="13810" width="14" style="108" customWidth="1"/>
    <col min="13811" max="13811" width="14.42578125" style="108" bestFit="1" customWidth="1"/>
    <col min="13812" max="13812" width="14" style="108" customWidth="1"/>
    <col min="13813" max="13813" width="14" style="108" bestFit="1" customWidth="1"/>
    <col min="13814" max="13814" width="13.140625" style="108" customWidth="1"/>
    <col min="13815" max="13815" width="14.42578125" style="108" bestFit="1" customWidth="1"/>
    <col min="13816" max="13816" width="4.42578125" style="108" customWidth="1"/>
    <col min="13817" max="13817" width="17.5703125" style="108" customWidth="1"/>
    <col min="13818" max="13818" width="14.42578125" style="108" customWidth="1"/>
    <col min="13819" max="13819" width="14.42578125" style="108" bestFit="1" customWidth="1"/>
    <col min="13820" max="13820" width="14" style="108" customWidth="1"/>
    <col min="13821" max="13821" width="13.85546875" style="108" customWidth="1"/>
    <col min="13822" max="13822" width="14" style="108" customWidth="1"/>
    <col min="13823" max="13825" width="13.85546875" style="108" customWidth="1"/>
    <col min="13826" max="13826" width="4.42578125" style="108" customWidth="1"/>
    <col min="13827" max="13827" width="27.140625" style="108" customWidth="1"/>
    <col min="13828" max="13828" width="14.140625" style="108" customWidth="1"/>
    <col min="13829" max="13829" width="14.28515625" style="108" customWidth="1"/>
    <col min="13830" max="13830" width="14" style="108" customWidth="1"/>
    <col min="13831" max="13831" width="13.85546875" style="108" customWidth="1"/>
    <col min="13832" max="13832" width="14" style="108" customWidth="1"/>
    <col min="13833" max="13833" width="13.85546875" style="108" customWidth="1"/>
    <col min="13834" max="13834" width="16.7109375" style="108" customWidth="1"/>
    <col min="13835" max="13835" width="17" style="108" customWidth="1"/>
    <col min="13836" max="14062" width="9.140625" style="108"/>
    <col min="14063" max="14063" width="23.28515625" style="108" customWidth="1"/>
    <col min="14064" max="14064" width="12.7109375" style="108" customWidth="1"/>
    <col min="14065" max="14065" width="14.42578125" style="108" bestFit="1" customWidth="1"/>
    <col min="14066" max="14066" width="14" style="108" customWidth="1"/>
    <col min="14067" max="14067" width="14.42578125" style="108" bestFit="1" customWidth="1"/>
    <col min="14068" max="14068" width="14" style="108" customWidth="1"/>
    <col min="14069" max="14069" width="14" style="108" bestFit="1" customWidth="1"/>
    <col min="14070" max="14070" width="13.140625" style="108" customWidth="1"/>
    <col min="14071" max="14071" width="14.42578125" style="108" bestFit="1" customWidth="1"/>
    <col min="14072" max="14072" width="4.42578125" style="108" customWidth="1"/>
    <col min="14073" max="14073" width="17.5703125" style="108" customWidth="1"/>
    <col min="14074" max="14074" width="14.42578125" style="108" customWidth="1"/>
    <col min="14075" max="14075" width="14.42578125" style="108" bestFit="1" customWidth="1"/>
    <col min="14076" max="14076" width="14" style="108" customWidth="1"/>
    <col min="14077" max="14077" width="13.85546875" style="108" customWidth="1"/>
    <col min="14078" max="14078" width="14" style="108" customWidth="1"/>
    <col min="14079" max="14081" width="13.85546875" style="108" customWidth="1"/>
    <col min="14082" max="14082" width="4.42578125" style="108" customWidth="1"/>
    <col min="14083" max="14083" width="27.140625" style="108" customWidth="1"/>
    <col min="14084" max="14084" width="14.140625" style="108" customWidth="1"/>
    <col min="14085" max="14085" width="14.28515625" style="108" customWidth="1"/>
    <col min="14086" max="14086" width="14" style="108" customWidth="1"/>
    <col min="14087" max="14087" width="13.85546875" style="108" customWidth="1"/>
    <col min="14088" max="14088" width="14" style="108" customWidth="1"/>
    <col min="14089" max="14089" width="13.85546875" style="108" customWidth="1"/>
    <col min="14090" max="14090" width="16.7109375" style="108" customWidth="1"/>
    <col min="14091" max="14091" width="17" style="108" customWidth="1"/>
    <col min="14092" max="14318" width="9.140625" style="108"/>
    <col min="14319" max="14319" width="23.28515625" style="108" customWidth="1"/>
    <col min="14320" max="14320" width="12.7109375" style="108" customWidth="1"/>
    <col min="14321" max="14321" width="14.42578125" style="108" bestFit="1" customWidth="1"/>
    <col min="14322" max="14322" width="14" style="108" customWidth="1"/>
    <col min="14323" max="14323" width="14.42578125" style="108" bestFit="1" customWidth="1"/>
    <col min="14324" max="14324" width="14" style="108" customWidth="1"/>
    <col min="14325" max="14325" width="14" style="108" bestFit="1" customWidth="1"/>
    <col min="14326" max="14326" width="13.140625" style="108" customWidth="1"/>
    <col min="14327" max="14327" width="14.42578125" style="108" bestFit="1" customWidth="1"/>
    <col min="14328" max="14328" width="4.42578125" style="108" customWidth="1"/>
    <col min="14329" max="14329" width="17.5703125" style="108" customWidth="1"/>
    <col min="14330" max="14330" width="14.42578125" style="108" customWidth="1"/>
    <col min="14331" max="14331" width="14.42578125" style="108" bestFit="1" customWidth="1"/>
    <col min="14332" max="14332" width="14" style="108" customWidth="1"/>
    <col min="14333" max="14333" width="13.85546875" style="108" customWidth="1"/>
    <col min="14334" max="14334" width="14" style="108" customWidth="1"/>
    <col min="14335" max="14337" width="13.85546875" style="108" customWidth="1"/>
    <col min="14338" max="14338" width="4.42578125" style="108" customWidth="1"/>
    <col min="14339" max="14339" width="27.140625" style="108" customWidth="1"/>
    <col min="14340" max="14340" width="14.140625" style="108" customWidth="1"/>
    <col min="14341" max="14341" width="14.28515625" style="108" customWidth="1"/>
    <col min="14342" max="14342" width="14" style="108" customWidth="1"/>
    <col min="14343" max="14343" width="13.85546875" style="108" customWidth="1"/>
    <col min="14344" max="14344" width="14" style="108" customWidth="1"/>
    <col min="14345" max="14345" width="13.85546875" style="108" customWidth="1"/>
    <col min="14346" max="14346" width="16.7109375" style="108" customWidth="1"/>
    <col min="14347" max="14347" width="17" style="108" customWidth="1"/>
    <col min="14348" max="14574" width="9.140625" style="108"/>
    <col min="14575" max="14575" width="23.28515625" style="108" customWidth="1"/>
    <col min="14576" max="14576" width="12.7109375" style="108" customWidth="1"/>
    <col min="14577" max="14577" width="14.42578125" style="108" bestFit="1" customWidth="1"/>
    <col min="14578" max="14578" width="14" style="108" customWidth="1"/>
    <col min="14579" max="14579" width="14.42578125" style="108" bestFit="1" customWidth="1"/>
    <col min="14580" max="14580" width="14" style="108" customWidth="1"/>
    <col min="14581" max="14581" width="14" style="108" bestFit="1" customWidth="1"/>
    <col min="14582" max="14582" width="13.140625" style="108" customWidth="1"/>
    <col min="14583" max="14583" width="14.42578125" style="108" bestFit="1" customWidth="1"/>
    <col min="14584" max="14584" width="4.42578125" style="108" customWidth="1"/>
    <col min="14585" max="14585" width="17.5703125" style="108" customWidth="1"/>
    <col min="14586" max="14586" width="14.42578125" style="108" customWidth="1"/>
    <col min="14587" max="14587" width="14.42578125" style="108" bestFit="1" customWidth="1"/>
    <col min="14588" max="14588" width="14" style="108" customWidth="1"/>
    <col min="14589" max="14589" width="13.85546875" style="108" customWidth="1"/>
    <col min="14590" max="14590" width="14" style="108" customWidth="1"/>
    <col min="14591" max="14593" width="13.85546875" style="108" customWidth="1"/>
    <col min="14594" max="14594" width="4.42578125" style="108" customWidth="1"/>
    <col min="14595" max="14595" width="27.140625" style="108" customWidth="1"/>
    <col min="14596" max="14596" width="14.140625" style="108" customWidth="1"/>
    <col min="14597" max="14597" width="14.28515625" style="108" customWidth="1"/>
    <col min="14598" max="14598" width="14" style="108" customWidth="1"/>
    <col min="14599" max="14599" width="13.85546875" style="108" customWidth="1"/>
    <col min="14600" max="14600" width="14" style="108" customWidth="1"/>
    <col min="14601" max="14601" width="13.85546875" style="108" customWidth="1"/>
    <col min="14602" max="14602" width="16.7109375" style="108" customWidth="1"/>
    <col min="14603" max="14603" width="17" style="108" customWidth="1"/>
    <col min="14604" max="14830" width="9.140625" style="108"/>
    <col min="14831" max="14831" width="23.28515625" style="108" customWidth="1"/>
    <col min="14832" max="14832" width="12.7109375" style="108" customWidth="1"/>
    <col min="14833" max="14833" width="14.42578125" style="108" bestFit="1" customWidth="1"/>
    <col min="14834" max="14834" width="14" style="108" customWidth="1"/>
    <col min="14835" max="14835" width="14.42578125" style="108" bestFit="1" customWidth="1"/>
    <col min="14836" max="14836" width="14" style="108" customWidth="1"/>
    <col min="14837" max="14837" width="14" style="108" bestFit="1" customWidth="1"/>
    <col min="14838" max="14838" width="13.140625" style="108" customWidth="1"/>
    <col min="14839" max="14839" width="14.42578125" style="108" bestFit="1" customWidth="1"/>
    <col min="14840" max="14840" width="4.42578125" style="108" customWidth="1"/>
    <col min="14841" max="14841" width="17.5703125" style="108" customWidth="1"/>
    <col min="14842" max="14842" width="14.42578125" style="108" customWidth="1"/>
    <col min="14843" max="14843" width="14.42578125" style="108" bestFit="1" customWidth="1"/>
    <col min="14844" max="14844" width="14" style="108" customWidth="1"/>
    <col min="14845" max="14845" width="13.85546875" style="108" customWidth="1"/>
    <col min="14846" max="14846" width="14" style="108" customWidth="1"/>
    <col min="14847" max="14849" width="13.85546875" style="108" customWidth="1"/>
    <col min="14850" max="14850" width="4.42578125" style="108" customWidth="1"/>
    <col min="14851" max="14851" width="27.140625" style="108" customWidth="1"/>
    <col min="14852" max="14852" width="14.140625" style="108" customWidth="1"/>
    <col min="14853" max="14853" width="14.28515625" style="108" customWidth="1"/>
    <col min="14854" max="14854" width="14" style="108" customWidth="1"/>
    <col min="14855" max="14855" width="13.85546875" style="108" customWidth="1"/>
    <col min="14856" max="14856" width="14" style="108" customWidth="1"/>
    <col min="14857" max="14857" width="13.85546875" style="108" customWidth="1"/>
    <col min="14858" max="14858" width="16.7109375" style="108" customWidth="1"/>
    <col min="14859" max="14859" width="17" style="108" customWidth="1"/>
    <col min="14860" max="15086" width="9.140625" style="108"/>
    <col min="15087" max="15087" width="23.28515625" style="108" customWidth="1"/>
    <col min="15088" max="15088" width="12.7109375" style="108" customWidth="1"/>
    <col min="15089" max="15089" width="14.42578125" style="108" bestFit="1" customWidth="1"/>
    <col min="15090" max="15090" width="14" style="108" customWidth="1"/>
    <col min="15091" max="15091" width="14.42578125" style="108" bestFit="1" customWidth="1"/>
    <col min="15092" max="15092" width="14" style="108" customWidth="1"/>
    <col min="15093" max="15093" width="14" style="108" bestFit="1" customWidth="1"/>
    <col min="15094" max="15094" width="13.140625" style="108" customWidth="1"/>
    <col min="15095" max="15095" width="14.42578125" style="108" bestFit="1" customWidth="1"/>
    <col min="15096" max="15096" width="4.42578125" style="108" customWidth="1"/>
    <col min="15097" max="15097" width="17.5703125" style="108" customWidth="1"/>
    <col min="15098" max="15098" width="14.42578125" style="108" customWidth="1"/>
    <col min="15099" max="15099" width="14.42578125" style="108" bestFit="1" customWidth="1"/>
    <col min="15100" max="15100" width="14" style="108" customWidth="1"/>
    <col min="15101" max="15101" width="13.85546875" style="108" customWidth="1"/>
    <col min="15102" max="15102" width="14" style="108" customWidth="1"/>
    <col min="15103" max="15105" width="13.85546875" style="108" customWidth="1"/>
    <col min="15106" max="15106" width="4.42578125" style="108" customWidth="1"/>
    <col min="15107" max="15107" width="27.140625" style="108" customWidth="1"/>
    <col min="15108" max="15108" width="14.140625" style="108" customWidth="1"/>
    <col min="15109" max="15109" width="14.28515625" style="108" customWidth="1"/>
    <col min="15110" max="15110" width="14" style="108" customWidth="1"/>
    <col min="15111" max="15111" width="13.85546875" style="108" customWidth="1"/>
    <col min="15112" max="15112" width="14" style="108" customWidth="1"/>
    <col min="15113" max="15113" width="13.85546875" style="108" customWidth="1"/>
    <col min="15114" max="15114" width="16.7109375" style="108" customWidth="1"/>
    <col min="15115" max="15115" width="17" style="108" customWidth="1"/>
    <col min="15116" max="15342" width="9.140625" style="108"/>
    <col min="15343" max="15343" width="23.28515625" style="108" customWidth="1"/>
    <col min="15344" max="15344" width="12.7109375" style="108" customWidth="1"/>
    <col min="15345" max="15345" width="14.42578125" style="108" bestFit="1" customWidth="1"/>
    <col min="15346" max="15346" width="14" style="108" customWidth="1"/>
    <col min="15347" max="15347" width="14.42578125" style="108" bestFit="1" customWidth="1"/>
    <col min="15348" max="15348" width="14" style="108" customWidth="1"/>
    <col min="15349" max="15349" width="14" style="108" bestFit="1" customWidth="1"/>
    <col min="15350" max="15350" width="13.140625" style="108" customWidth="1"/>
    <col min="15351" max="15351" width="14.42578125" style="108" bestFit="1" customWidth="1"/>
    <col min="15352" max="15352" width="4.42578125" style="108" customWidth="1"/>
    <col min="15353" max="15353" width="17.5703125" style="108" customWidth="1"/>
    <col min="15354" max="15354" width="14.42578125" style="108" customWidth="1"/>
    <col min="15355" max="15355" width="14.42578125" style="108" bestFit="1" customWidth="1"/>
    <col min="15356" max="15356" width="14" style="108" customWidth="1"/>
    <col min="15357" max="15357" width="13.85546875" style="108" customWidth="1"/>
    <col min="15358" max="15358" width="14" style="108" customWidth="1"/>
    <col min="15359" max="15361" width="13.85546875" style="108" customWidth="1"/>
    <col min="15362" max="15362" width="4.42578125" style="108" customWidth="1"/>
    <col min="15363" max="15363" width="27.140625" style="108" customWidth="1"/>
    <col min="15364" max="15364" width="14.140625" style="108" customWidth="1"/>
    <col min="15365" max="15365" width="14.28515625" style="108" customWidth="1"/>
    <col min="15366" max="15366" width="14" style="108" customWidth="1"/>
    <col min="15367" max="15367" width="13.85546875" style="108" customWidth="1"/>
    <col min="15368" max="15368" width="14" style="108" customWidth="1"/>
    <col min="15369" max="15369" width="13.85546875" style="108" customWidth="1"/>
    <col min="15370" max="15370" width="16.7109375" style="108" customWidth="1"/>
    <col min="15371" max="15371" width="17" style="108" customWidth="1"/>
    <col min="15372" max="15598" width="9.140625" style="108"/>
    <col min="15599" max="15599" width="23.28515625" style="108" customWidth="1"/>
    <col min="15600" max="15600" width="12.7109375" style="108" customWidth="1"/>
    <col min="15601" max="15601" width="14.42578125" style="108" bestFit="1" customWidth="1"/>
    <col min="15602" max="15602" width="14" style="108" customWidth="1"/>
    <col min="15603" max="15603" width="14.42578125" style="108" bestFit="1" customWidth="1"/>
    <col min="15604" max="15604" width="14" style="108" customWidth="1"/>
    <col min="15605" max="15605" width="14" style="108" bestFit="1" customWidth="1"/>
    <col min="15606" max="15606" width="13.140625" style="108" customWidth="1"/>
    <col min="15607" max="15607" width="14.42578125" style="108" bestFit="1" customWidth="1"/>
    <col min="15608" max="15608" width="4.42578125" style="108" customWidth="1"/>
    <col min="15609" max="15609" width="17.5703125" style="108" customWidth="1"/>
    <col min="15610" max="15610" width="14.42578125" style="108" customWidth="1"/>
    <col min="15611" max="15611" width="14.42578125" style="108" bestFit="1" customWidth="1"/>
    <col min="15612" max="15612" width="14" style="108" customWidth="1"/>
    <col min="15613" max="15613" width="13.85546875" style="108" customWidth="1"/>
    <col min="15614" max="15614" width="14" style="108" customWidth="1"/>
    <col min="15615" max="15617" width="13.85546875" style="108" customWidth="1"/>
    <col min="15618" max="15618" width="4.42578125" style="108" customWidth="1"/>
    <col min="15619" max="15619" width="27.140625" style="108" customWidth="1"/>
    <col min="15620" max="15620" width="14.140625" style="108" customWidth="1"/>
    <col min="15621" max="15621" width="14.28515625" style="108" customWidth="1"/>
    <col min="15622" max="15622" width="14" style="108" customWidth="1"/>
    <col min="15623" max="15623" width="13.85546875" style="108" customWidth="1"/>
    <col min="15624" max="15624" width="14" style="108" customWidth="1"/>
    <col min="15625" max="15625" width="13.85546875" style="108" customWidth="1"/>
    <col min="15626" max="15626" width="16.7109375" style="108" customWidth="1"/>
    <col min="15627" max="15627" width="17" style="108" customWidth="1"/>
    <col min="15628" max="15854" width="9.140625" style="108"/>
    <col min="15855" max="15855" width="23.28515625" style="108" customWidth="1"/>
    <col min="15856" max="15856" width="12.7109375" style="108" customWidth="1"/>
    <col min="15857" max="15857" width="14.42578125" style="108" bestFit="1" customWidth="1"/>
    <col min="15858" max="15858" width="14" style="108" customWidth="1"/>
    <col min="15859" max="15859" width="14.42578125" style="108" bestFit="1" customWidth="1"/>
    <col min="15860" max="15860" width="14" style="108" customWidth="1"/>
    <col min="15861" max="15861" width="14" style="108" bestFit="1" customWidth="1"/>
    <col min="15862" max="15862" width="13.140625" style="108" customWidth="1"/>
    <col min="15863" max="15863" width="14.42578125" style="108" bestFit="1" customWidth="1"/>
    <col min="15864" max="15864" width="4.42578125" style="108" customWidth="1"/>
    <col min="15865" max="15865" width="17.5703125" style="108" customWidth="1"/>
    <col min="15866" max="15866" width="14.42578125" style="108" customWidth="1"/>
    <col min="15867" max="15867" width="14.42578125" style="108" bestFit="1" customWidth="1"/>
    <col min="15868" max="15868" width="14" style="108" customWidth="1"/>
    <col min="15869" max="15869" width="13.85546875" style="108" customWidth="1"/>
    <col min="15870" max="15870" width="14" style="108" customWidth="1"/>
    <col min="15871" max="15873" width="13.85546875" style="108" customWidth="1"/>
    <col min="15874" max="15874" width="4.42578125" style="108" customWidth="1"/>
    <col min="15875" max="15875" width="27.140625" style="108" customWidth="1"/>
    <col min="15876" max="15876" width="14.140625" style="108" customWidth="1"/>
    <col min="15877" max="15877" width="14.28515625" style="108" customWidth="1"/>
    <col min="15878" max="15878" width="14" style="108" customWidth="1"/>
    <col min="15879" max="15879" width="13.85546875" style="108" customWidth="1"/>
    <col min="15880" max="15880" width="14" style="108" customWidth="1"/>
    <col min="15881" max="15881" width="13.85546875" style="108" customWidth="1"/>
    <col min="15882" max="15882" width="16.7109375" style="108" customWidth="1"/>
    <col min="15883" max="15883" width="17" style="108" customWidth="1"/>
    <col min="15884" max="16110" width="9.140625" style="108"/>
    <col min="16111" max="16111" width="23.28515625" style="108" customWidth="1"/>
    <col min="16112" max="16112" width="12.7109375" style="108" customWidth="1"/>
    <col min="16113" max="16113" width="14.42578125" style="108" bestFit="1" customWidth="1"/>
    <col min="16114" max="16114" width="14" style="108" customWidth="1"/>
    <col min="16115" max="16115" width="14.42578125" style="108" bestFit="1" customWidth="1"/>
    <col min="16116" max="16116" width="14" style="108" customWidth="1"/>
    <col min="16117" max="16117" width="14" style="108" bestFit="1" customWidth="1"/>
    <col min="16118" max="16118" width="13.140625" style="108" customWidth="1"/>
    <col min="16119" max="16119" width="14.42578125" style="108" bestFit="1" customWidth="1"/>
    <col min="16120" max="16120" width="4.42578125" style="108" customWidth="1"/>
    <col min="16121" max="16121" width="17.5703125" style="108" customWidth="1"/>
    <col min="16122" max="16122" width="14.42578125" style="108" customWidth="1"/>
    <col min="16123" max="16123" width="14.42578125" style="108" bestFit="1" customWidth="1"/>
    <col min="16124" max="16124" width="14" style="108" customWidth="1"/>
    <col min="16125" max="16125" width="13.85546875" style="108" customWidth="1"/>
    <col min="16126" max="16126" width="14" style="108" customWidth="1"/>
    <col min="16127" max="16129" width="13.85546875" style="108" customWidth="1"/>
    <col min="16130" max="16130" width="4.42578125" style="108" customWidth="1"/>
    <col min="16131" max="16131" width="27.140625" style="108" customWidth="1"/>
    <col min="16132" max="16132" width="14.140625" style="108" customWidth="1"/>
    <col min="16133" max="16133" width="14.28515625" style="108" customWidth="1"/>
    <col min="16134" max="16134" width="14" style="108" customWidth="1"/>
    <col min="16135" max="16135" width="13.85546875" style="108" customWidth="1"/>
    <col min="16136" max="16136" width="14" style="108" customWidth="1"/>
    <col min="16137" max="16137" width="13.85546875" style="108" customWidth="1"/>
    <col min="16138" max="16138" width="16.7109375" style="108" customWidth="1"/>
    <col min="16139" max="16139" width="17" style="108" customWidth="1"/>
    <col min="16140" max="16384" width="9.140625" style="108"/>
  </cols>
  <sheetData>
    <row r="1" spans="1:23" ht="18" customHeight="1" x14ac:dyDescent="0.25">
      <c r="A1" s="413" t="s">
        <v>470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</row>
    <row r="2" spans="1:23" ht="20.25" customHeight="1" x14ac:dyDescent="0.25">
      <c r="A2" s="413" t="s">
        <v>256</v>
      </c>
      <c r="B2" s="413"/>
      <c r="C2" s="413"/>
      <c r="D2" s="194"/>
      <c r="E2" s="413" t="s">
        <v>448</v>
      </c>
      <c r="F2" s="413"/>
      <c r="G2" s="413"/>
      <c r="H2" s="194"/>
      <c r="I2" s="413" t="s">
        <v>258</v>
      </c>
      <c r="J2" s="413"/>
      <c r="K2" s="413"/>
      <c r="M2" s="414" t="s">
        <v>404</v>
      </c>
      <c r="N2" s="414"/>
      <c r="O2" s="414"/>
      <c r="Q2" s="413" t="s">
        <v>473</v>
      </c>
      <c r="R2" s="413"/>
      <c r="S2" s="413"/>
      <c r="U2" s="413" t="s">
        <v>474</v>
      </c>
      <c r="V2" s="413"/>
      <c r="W2" s="413"/>
    </row>
    <row r="3" spans="1:23" ht="37.5" customHeight="1" x14ac:dyDescent="0.25">
      <c r="A3" s="195" t="s">
        <v>256</v>
      </c>
      <c r="B3" s="196" t="s">
        <v>259</v>
      </c>
      <c r="C3" s="196" t="s">
        <v>175</v>
      </c>
      <c r="D3" s="194"/>
      <c r="E3" s="197" t="s">
        <v>257</v>
      </c>
      <c r="F3" s="196" t="s">
        <v>259</v>
      </c>
      <c r="G3" s="196" t="s">
        <v>175</v>
      </c>
      <c r="H3" s="194"/>
      <c r="I3" s="198" t="s">
        <v>258</v>
      </c>
      <c r="J3" s="199" t="s">
        <v>259</v>
      </c>
      <c r="K3" s="199" t="s">
        <v>175</v>
      </c>
      <c r="M3" s="197" t="s">
        <v>431</v>
      </c>
      <c r="N3" s="196" t="s">
        <v>259</v>
      </c>
      <c r="O3" s="196" t="s">
        <v>175</v>
      </c>
      <c r="Q3" s="197" t="s">
        <v>257</v>
      </c>
      <c r="R3" s="196" t="s">
        <v>259</v>
      </c>
      <c r="S3" s="196" t="s">
        <v>175</v>
      </c>
      <c r="U3" s="197" t="s">
        <v>257</v>
      </c>
      <c r="V3" s="196" t="s">
        <v>259</v>
      </c>
      <c r="W3" s="196" t="s">
        <v>175</v>
      </c>
    </row>
    <row r="4" spans="1:23" x14ac:dyDescent="0.25">
      <c r="A4" s="200" t="s">
        <v>260</v>
      </c>
      <c r="B4" s="191">
        <v>30.07</v>
      </c>
      <c r="C4" s="191">
        <f>B4*2</f>
        <v>60.14</v>
      </c>
      <c r="D4" s="109"/>
      <c r="E4" s="201" t="s">
        <v>261</v>
      </c>
      <c r="F4" s="179">
        <v>21.74</v>
      </c>
      <c r="G4" s="191">
        <f>F4*2</f>
        <v>43.48</v>
      </c>
      <c r="H4" s="109"/>
      <c r="I4" s="202" t="s">
        <v>261</v>
      </c>
      <c r="J4" s="179">
        <v>23.49</v>
      </c>
      <c r="K4" s="203">
        <f>J4*2</f>
        <v>46.98</v>
      </c>
      <c r="M4" s="201" t="s">
        <v>261</v>
      </c>
      <c r="N4" s="179">
        <v>23.49</v>
      </c>
      <c r="O4" s="191">
        <f>N4*2</f>
        <v>46.98</v>
      </c>
      <c r="Q4" s="201" t="s">
        <v>261</v>
      </c>
      <c r="R4" s="179">
        <v>22.77</v>
      </c>
      <c r="S4" s="191">
        <f>R4*2</f>
        <v>45.54</v>
      </c>
      <c r="U4" s="201" t="s">
        <v>261</v>
      </c>
      <c r="V4" s="179">
        <v>22.77</v>
      </c>
      <c r="W4" s="191">
        <f>V4*2</f>
        <v>45.54</v>
      </c>
    </row>
    <row r="5" spans="1:23" ht="60.75" customHeight="1" x14ac:dyDescent="0.25">
      <c r="A5" s="204" t="s">
        <v>262</v>
      </c>
      <c r="B5" s="205">
        <v>25.71</v>
      </c>
      <c r="C5" s="191">
        <f t="shared" ref="C5:C10" si="0">B5*2</f>
        <v>51.42</v>
      </c>
      <c r="D5" s="109"/>
      <c r="E5" s="201" t="s">
        <v>263</v>
      </c>
      <c r="F5" s="179">
        <v>13.96</v>
      </c>
      <c r="G5" s="191">
        <f>F5*3</f>
        <v>41.88</v>
      </c>
      <c r="H5" s="109"/>
      <c r="I5" s="202" t="s">
        <v>263</v>
      </c>
      <c r="J5" s="179">
        <v>15.59</v>
      </c>
      <c r="K5" s="203">
        <f>J5*3</f>
        <v>46.77</v>
      </c>
      <c r="M5" s="201" t="s">
        <v>263</v>
      </c>
      <c r="N5" s="179">
        <v>15.59</v>
      </c>
      <c r="O5" s="191">
        <f>N5*3</f>
        <v>46.77</v>
      </c>
      <c r="Q5" s="201" t="s">
        <v>263</v>
      </c>
      <c r="R5" s="179">
        <v>15.59</v>
      </c>
      <c r="S5" s="191">
        <f>R5*3</f>
        <v>46.77</v>
      </c>
      <c r="U5" s="201" t="s">
        <v>263</v>
      </c>
      <c r="V5" s="179">
        <v>15.59</v>
      </c>
      <c r="W5" s="191">
        <f>V5*3</f>
        <v>46.77</v>
      </c>
    </row>
    <row r="6" spans="1:23" ht="39.75" customHeight="1" x14ac:dyDescent="0.25">
      <c r="A6" s="200" t="s">
        <v>264</v>
      </c>
      <c r="B6" s="179">
        <v>15.89</v>
      </c>
      <c r="C6" s="191">
        <f t="shared" si="0"/>
        <v>31.78</v>
      </c>
      <c r="D6" s="109"/>
      <c r="E6" s="201" t="s">
        <v>265</v>
      </c>
      <c r="F6" s="179">
        <v>4.17</v>
      </c>
      <c r="G6" s="179">
        <f>F6*3</f>
        <v>12.51</v>
      </c>
      <c r="H6" s="109"/>
      <c r="I6" s="202" t="s">
        <v>265</v>
      </c>
      <c r="J6" s="179">
        <v>4.17</v>
      </c>
      <c r="K6" s="203">
        <f>J6*3</f>
        <v>12.51</v>
      </c>
      <c r="M6" s="201" t="s">
        <v>265</v>
      </c>
      <c r="N6" s="179">
        <v>4.17</v>
      </c>
      <c r="O6" s="179">
        <f>N6*3</f>
        <v>12.51</v>
      </c>
      <c r="Q6" s="201" t="s">
        <v>265</v>
      </c>
      <c r="R6" s="179">
        <v>4.17</v>
      </c>
      <c r="S6" s="179">
        <f>R6*3</f>
        <v>12.51</v>
      </c>
      <c r="U6" s="201" t="s">
        <v>265</v>
      </c>
      <c r="V6" s="179">
        <v>4.17</v>
      </c>
      <c r="W6" s="179">
        <f>V6*3</f>
        <v>12.51</v>
      </c>
    </row>
    <row r="7" spans="1:23" ht="32.25" customHeight="1" x14ac:dyDescent="0.25">
      <c r="A7" s="200" t="s">
        <v>266</v>
      </c>
      <c r="B7" s="179">
        <v>4.97</v>
      </c>
      <c r="C7" s="191">
        <f t="shared" si="0"/>
        <v>9.94</v>
      </c>
      <c r="D7" s="109"/>
      <c r="E7" s="201" t="s">
        <v>267</v>
      </c>
      <c r="F7" s="179">
        <v>11.5</v>
      </c>
      <c r="G7" s="179">
        <f>F7*2</f>
        <v>23</v>
      </c>
      <c r="H7" s="109"/>
      <c r="I7" s="202" t="s">
        <v>267</v>
      </c>
      <c r="J7" s="179">
        <v>11.5</v>
      </c>
      <c r="K7" s="203">
        <f>J7*2</f>
        <v>23</v>
      </c>
      <c r="M7" s="201" t="s">
        <v>267</v>
      </c>
      <c r="N7" s="179">
        <v>11.5</v>
      </c>
      <c r="O7" s="179">
        <f>N7*2</f>
        <v>23</v>
      </c>
      <c r="Q7" s="201" t="s">
        <v>267</v>
      </c>
      <c r="R7" s="179">
        <v>11.5</v>
      </c>
      <c r="S7" s="179">
        <f>R7*2</f>
        <v>23</v>
      </c>
      <c r="U7" s="201" t="s">
        <v>267</v>
      </c>
      <c r="V7" s="179">
        <v>11.5</v>
      </c>
      <c r="W7" s="179">
        <f>V7*2</f>
        <v>23</v>
      </c>
    </row>
    <row r="8" spans="1:23" ht="37.5" customHeight="1" x14ac:dyDescent="0.25">
      <c r="A8" s="206" t="s">
        <v>268</v>
      </c>
      <c r="B8" s="207">
        <v>41.98</v>
      </c>
      <c r="C8" s="191">
        <f t="shared" si="0"/>
        <v>83.96</v>
      </c>
      <c r="D8" s="110"/>
      <c r="E8" s="208" t="s">
        <v>269</v>
      </c>
      <c r="F8" s="207">
        <v>34.049999999999997</v>
      </c>
      <c r="G8" s="207">
        <f>F8*2</f>
        <v>68.099999999999994</v>
      </c>
      <c r="H8" s="110"/>
      <c r="I8" s="166" t="s">
        <v>270</v>
      </c>
      <c r="J8" s="207">
        <v>37.979999999999997</v>
      </c>
      <c r="K8" s="203">
        <f>J8*2</f>
        <v>75.959999999999994</v>
      </c>
      <c r="M8" s="208" t="s">
        <v>484</v>
      </c>
      <c r="N8" s="207">
        <v>37.979999999999997</v>
      </c>
      <c r="O8" s="207">
        <f>N8*1</f>
        <v>37.979999999999997</v>
      </c>
      <c r="Q8" s="208" t="s">
        <v>269</v>
      </c>
      <c r="R8" s="207">
        <v>34.049999999999997</v>
      </c>
      <c r="S8" s="207">
        <f>R8*2</f>
        <v>68.099999999999994</v>
      </c>
      <c r="U8" s="208" t="s">
        <v>269</v>
      </c>
      <c r="V8" s="207">
        <v>34.049999999999997</v>
      </c>
      <c r="W8" s="207">
        <f>V8*2</f>
        <v>68.099999999999994</v>
      </c>
    </row>
    <row r="9" spans="1:23" ht="51" customHeight="1" x14ac:dyDescent="0.25">
      <c r="A9" s="206" t="s">
        <v>398</v>
      </c>
      <c r="B9" s="191">
        <v>18.29</v>
      </c>
      <c r="C9" s="191">
        <f t="shared" si="0"/>
        <v>36.58</v>
      </c>
      <c r="D9" s="109"/>
      <c r="E9" s="201" t="s">
        <v>432</v>
      </c>
      <c r="F9" s="179">
        <v>3.06</v>
      </c>
      <c r="G9" s="179">
        <f>F9*4</f>
        <v>12.24</v>
      </c>
      <c r="H9" s="109"/>
      <c r="I9" s="202" t="s">
        <v>406</v>
      </c>
      <c r="J9" s="179">
        <v>3.06</v>
      </c>
      <c r="K9" s="203">
        <f>J9*4</f>
        <v>12.24</v>
      </c>
      <c r="M9" s="201" t="s">
        <v>405</v>
      </c>
      <c r="N9" s="179">
        <v>3.06</v>
      </c>
      <c r="O9" s="179">
        <f>N9*2</f>
        <v>6.12</v>
      </c>
      <c r="Q9" s="201" t="s">
        <v>432</v>
      </c>
      <c r="R9" s="179">
        <v>3.06</v>
      </c>
      <c r="S9" s="179">
        <f>R9*4</f>
        <v>12.24</v>
      </c>
      <c r="U9" s="201" t="s">
        <v>432</v>
      </c>
      <c r="V9" s="179">
        <v>3.06</v>
      </c>
      <c r="W9" s="179">
        <f>V9*4</f>
        <v>12.24</v>
      </c>
    </row>
    <row r="10" spans="1:23" ht="44.25" customHeight="1" x14ac:dyDescent="0.25">
      <c r="A10" s="209" t="s">
        <v>497</v>
      </c>
      <c r="B10" s="191">
        <v>3.51</v>
      </c>
      <c r="C10" s="191">
        <f t="shared" si="0"/>
        <v>7.02</v>
      </c>
      <c r="D10" s="109"/>
      <c r="E10" s="201" t="s">
        <v>271</v>
      </c>
      <c r="F10" s="179">
        <v>27.45</v>
      </c>
      <c r="G10" s="179">
        <f>F10*2</f>
        <v>54.9</v>
      </c>
      <c r="H10" s="109"/>
      <c r="I10" s="210" t="s">
        <v>476</v>
      </c>
      <c r="J10" s="179">
        <v>27.45</v>
      </c>
      <c r="K10" s="203">
        <f>J10</f>
        <v>27.45</v>
      </c>
      <c r="M10" s="201" t="s">
        <v>478</v>
      </c>
      <c r="N10" s="179">
        <v>27.45</v>
      </c>
      <c r="O10" s="179">
        <f>N10*2</f>
        <v>54.9</v>
      </c>
      <c r="Q10" s="201" t="s">
        <v>271</v>
      </c>
      <c r="R10" s="179">
        <v>27.45</v>
      </c>
      <c r="S10" s="179">
        <f>R10*2</f>
        <v>54.9</v>
      </c>
      <c r="U10" s="201" t="s">
        <v>271</v>
      </c>
      <c r="V10" s="179">
        <v>27.45</v>
      </c>
      <c r="W10" s="179">
        <f>V10*2</f>
        <v>54.9</v>
      </c>
    </row>
    <row r="11" spans="1:23" ht="58.5" customHeight="1" x14ac:dyDescent="0.25">
      <c r="A11" s="200"/>
      <c r="B11" s="211"/>
      <c r="C11" s="191"/>
      <c r="D11" s="109"/>
      <c r="E11" s="209" t="s">
        <v>503</v>
      </c>
      <c r="F11" s="191">
        <v>15.21</v>
      </c>
      <c r="G11" s="179">
        <f>F11*22</f>
        <v>334.62</v>
      </c>
      <c r="H11" s="109"/>
      <c r="I11" s="209" t="s">
        <v>498</v>
      </c>
      <c r="J11" s="179">
        <v>3.51</v>
      </c>
      <c r="K11" s="203">
        <f>J11</f>
        <v>3.51</v>
      </c>
      <c r="M11" s="209" t="s">
        <v>407</v>
      </c>
      <c r="N11" s="191">
        <v>10.39</v>
      </c>
      <c r="O11" s="179">
        <f>N11*2</f>
        <v>20.78</v>
      </c>
      <c r="Q11" s="209" t="s">
        <v>498</v>
      </c>
      <c r="R11" s="191">
        <v>3.51</v>
      </c>
      <c r="S11" s="179">
        <f>R11*2</f>
        <v>7.02</v>
      </c>
      <c r="U11" s="209" t="s">
        <v>481</v>
      </c>
      <c r="V11" s="191">
        <v>3.51</v>
      </c>
      <c r="W11" s="179">
        <f>V11*2</f>
        <v>7.02</v>
      </c>
    </row>
    <row r="12" spans="1:23" ht="58.5" customHeight="1" x14ac:dyDescent="0.25">
      <c r="A12" s="200"/>
      <c r="B12" s="212"/>
      <c r="C12" s="191"/>
      <c r="D12" s="154"/>
      <c r="E12" s="209" t="s">
        <v>502</v>
      </c>
      <c r="F12" s="213">
        <v>3.51</v>
      </c>
      <c r="G12" s="179">
        <f>F12*2</f>
        <v>7.02</v>
      </c>
      <c r="H12" s="154"/>
      <c r="I12" s="214" t="s">
        <v>475</v>
      </c>
      <c r="J12" s="215">
        <v>25.9</v>
      </c>
      <c r="K12" s="203">
        <f>J12</f>
        <v>25.9</v>
      </c>
      <c r="M12" s="209" t="s">
        <v>479</v>
      </c>
      <c r="N12" s="213">
        <v>3.51</v>
      </c>
      <c r="O12" s="179">
        <f>N12*2</f>
        <v>7.02</v>
      </c>
      <c r="Q12" s="209"/>
      <c r="R12" s="213"/>
      <c r="S12" s="179"/>
      <c r="U12" s="209" t="s">
        <v>505</v>
      </c>
      <c r="V12" s="213">
        <v>0.23</v>
      </c>
      <c r="W12" s="179">
        <f>V12*66</f>
        <v>15.18</v>
      </c>
    </row>
    <row r="13" spans="1:23" ht="58.5" customHeight="1" x14ac:dyDescent="0.25">
      <c r="A13" s="200"/>
      <c r="B13" s="212"/>
      <c r="C13" s="191"/>
      <c r="D13" s="154"/>
      <c r="E13" s="209" t="s">
        <v>504</v>
      </c>
      <c r="F13" s="213">
        <v>0.23</v>
      </c>
      <c r="G13" s="179">
        <f>F13*66</f>
        <v>15.18</v>
      </c>
      <c r="H13" s="154"/>
      <c r="I13" s="214"/>
      <c r="J13" s="215"/>
      <c r="K13" s="203"/>
      <c r="M13" s="209" t="s">
        <v>477</v>
      </c>
      <c r="N13" s="213">
        <v>28.65</v>
      </c>
      <c r="O13" s="179">
        <f>N13</f>
        <v>28.65</v>
      </c>
      <c r="Q13" s="209"/>
      <c r="R13" s="213"/>
      <c r="S13" s="179"/>
      <c r="U13" s="209"/>
      <c r="V13" s="213"/>
      <c r="W13" s="179"/>
    </row>
    <row r="14" spans="1:23" ht="58.5" customHeight="1" x14ac:dyDescent="0.25">
      <c r="A14" s="200"/>
      <c r="B14" s="212"/>
      <c r="C14" s="191"/>
      <c r="D14" s="154"/>
      <c r="E14" s="209"/>
      <c r="F14" s="213"/>
      <c r="G14" s="179"/>
      <c r="H14" s="154"/>
      <c r="I14" s="214"/>
      <c r="J14" s="215"/>
      <c r="K14" s="203"/>
      <c r="M14" s="209"/>
      <c r="N14" s="213"/>
      <c r="O14" s="179"/>
      <c r="Q14" s="209"/>
      <c r="R14" s="213"/>
      <c r="S14" s="179"/>
      <c r="U14" s="209"/>
      <c r="V14" s="213"/>
      <c r="W14" s="179"/>
    </row>
    <row r="15" spans="1:23" ht="52.5" customHeight="1" x14ac:dyDescent="0.25">
      <c r="A15" s="200"/>
      <c r="B15" s="212"/>
      <c r="C15" s="191"/>
      <c r="D15" s="154"/>
      <c r="E15" s="209"/>
      <c r="F15" s="213"/>
      <c r="G15" s="179"/>
      <c r="H15" s="154"/>
      <c r="I15" s="202"/>
      <c r="J15" s="215"/>
      <c r="K15" s="203"/>
      <c r="M15" s="209"/>
      <c r="N15" s="213"/>
      <c r="O15" s="179"/>
      <c r="Q15" s="209"/>
      <c r="R15" s="213"/>
      <c r="S15" s="179"/>
      <c r="U15" s="209"/>
      <c r="V15" s="213"/>
      <c r="W15" s="179"/>
    </row>
    <row r="16" spans="1:23" s="283" customFormat="1" ht="30" x14ac:dyDescent="0.2">
      <c r="A16" s="216" t="s">
        <v>453</v>
      </c>
      <c r="B16" s="217"/>
      <c r="C16" s="280">
        <f>SUM(C4:C11)/6</f>
        <v>46.81</v>
      </c>
      <c r="D16" s="281"/>
      <c r="E16" s="216" t="s">
        <v>454</v>
      </c>
      <c r="F16" s="217"/>
      <c r="G16" s="282">
        <f>SUM(G4:G11)/6</f>
        <v>98.46</v>
      </c>
      <c r="H16" s="281"/>
      <c r="I16" s="218" t="s">
        <v>482</v>
      </c>
      <c r="J16" s="219"/>
      <c r="K16" s="280">
        <f>SUM(K4:K11)/6</f>
        <v>41.4</v>
      </c>
      <c r="M16" s="216" t="s">
        <v>455</v>
      </c>
      <c r="N16" s="217"/>
      <c r="O16" s="282">
        <f>SUM(O4:O11)/6</f>
        <v>41.51</v>
      </c>
      <c r="Q16" s="216" t="s">
        <v>456</v>
      </c>
      <c r="R16" s="217"/>
      <c r="S16" s="282">
        <f>SUM(S4:S11)/6</f>
        <v>45.01</v>
      </c>
      <c r="U16" s="216" t="s">
        <v>483</v>
      </c>
      <c r="V16" s="217"/>
      <c r="W16" s="282">
        <f>SUM(W4:W11)/6</f>
        <v>45.01</v>
      </c>
    </row>
    <row r="17" spans="5:21" x14ac:dyDescent="0.25">
      <c r="E17" s="220"/>
      <c r="F17" s="183"/>
      <c r="G17" s="112"/>
      <c r="I17" s="113"/>
    </row>
    <row r="18" spans="5:21" x14ac:dyDescent="0.25">
      <c r="E18" s="221" t="s">
        <v>449</v>
      </c>
      <c r="G18" s="112"/>
      <c r="J18" s="183"/>
    </row>
    <row r="19" spans="5:21" x14ac:dyDescent="0.25">
      <c r="E19" s="221" t="s">
        <v>450</v>
      </c>
      <c r="G19" s="112"/>
      <c r="I19" s="108" t="s">
        <v>451</v>
      </c>
      <c r="J19" s="183"/>
      <c r="K19" s="108"/>
      <c r="M19" s="108" t="s">
        <v>480</v>
      </c>
      <c r="N19" s="183"/>
      <c r="U19" s="221" t="s">
        <v>450</v>
      </c>
    </row>
    <row r="20" spans="5:21" x14ac:dyDescent="0.25">
      <c r="G20" s="112"/>
      <c r="I20" s="113" t="s">
        <v>452</v>
      </c>
    </row>
    <row r="21" spans="5:21" ht="15.75" x14ac:dyDescent="0.25">
      <c r="E21" s="222"/>
      <c r="G21" s="112"/>
      <c r="I21" s="113"/>
    </row>
    <row r="22" spans="5:21" x14ac:dyDescent="0.25">
      <c r="E22" s="223"/>
      <c r="G22" s="112"/>
      <c r="I22" s="113"/>
    </row>
    <row r="23" spans="5:21" x14ac:dyDescent="0.25">
      <c r="E23" s="223"/>
      <c r="G23" s="112"/>
      <c r="I23" s="113"/>
    </row>
    <row r="24" spans="5:21" x14ac:dyDescent="0.25">
      <c r="E24" s="223"/>
      <c r="G24" s="112"/>
      <c r="I24" s="113"/>
    </row>
    <row r="25" spans="5:21" x14ac:dyDescent="0.25">
      <c r="E25" s="223"/>
      <c r="G25" s="112"/>
      <c r="I25" s="113"/>
    </row>
    <row r="26" spans="5:21" x14ac:dyDescent="0.25">
      <c r="E26" s="223"/>
      <c r="G26" s="112"/>
      <c r="I26" s="113"/>
    </row>
    <row r="27" spans="5:21" x14ac:dyDescent="0.25">
      <c r="E27" s="223"/>
      <c r="G27" s="112"/>
      <c r="I27" s="113"/>
    </row>
    <row r="28" spans="5:21" x14ac:dyDescent="0.25">
      <c r="G28" s="112"/>
      <c r="I28" s="113"/>
    </row>
    <row r="29" spans="5:21" x14ac:dyDescent="0.25">
      <c r="G29" s="112"/>
      <c r="I29" s="113"/>
    </row>
    <row r="30" spans="5:21" x14ac:dyDescent="0.25">
      <c r="G30" s="112"/>
      <c r="I30" s="113"/>
    </row>
    <row r="31" spans="5:21" x14ac:dyDescent="0.25">
      <c r="G31" s="112"/>
      <c r="I31" s="113"/>
    </row>
    <row r="32" spans="5:21" x14ac:dyDescent="0.25">
      <c r="G32" s="112"/>
      <c r="I32" s="113"/>
    </row>
    <row r="33" spans="7:9" x14ac:dyDescent="0.25">
      <c r="G33" s="112"/>
      <c r="I33" s="113"/>
    </row>
    <row r="34" spans="7:9" x14ac:dyDescent="0.25">
      <c r="G34" s="112"/>
      <c r="I34" s="113"/>
    </row>
  </sheetData>
  <mergeCells count="7">
    <mergeCell ref="U2:W2"/>
    <mergeCell ref="Q2:S2"/>
    <mergeCell ref="E2:G2"/>
    <mergeCell ref="I2:K2"/>
    <mergeCell ref="A1:K1"/>
    <mergeCell ref="A2:C2"/>
    <mergeCell ref="M2:O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topLeftCell="A85" workbookViewId="0">
      <selection activeCell="J88" sqref="J88"/>
    </sheetView>
  </sheetViews>
  <sheetFormatPr defaultRowHeight="12.75" x14ac:dyDescent="0.2"/>
  <cols>
    <col min="1" max="1" width="4.7109375" style="100" bestFit="1" customWidth="1"/>
    <col min="2" max="2" width="42" style="100" customWidth="1"/>
    <col min="3" max="3" width="9.140625" style="100"/>
    <col min="4" max="4" width="9.42578125" style="100" customWidth="1"/>
    <col min="5" max="5" width="13.42578125" style="100" customWidth="1"/>
    <col min="6" max="6" width="14.5703125" style="100" customWidth="1"/>
    <col min="7" max="7" width="19.140625" style="100" customWidth="1"/>
    <col min="8" max="8" width="17.140625" style="100" customWidth="1"/>
    <col min="9" max="9" width="22.85546875" style="100" customWidth="1"/>
    <col min="10" max="252" width="9.140625" style="100"/>
    <col min="253" max="253" width="32.7109375" style="100" customWidth="1"/>
    <col min="254" max="254" width="9.140625" style="100"/>
    <col min="255" max="255" width="9.42578125" style="100" customWidth="1"/>
    <col min="256" max="256" width="13.42578125" style="100" customWidth="1"/>
    <col min="257" max="257" width="14.5703125" style="100" customWidth="1"/>
    <col min="258" max="258" width="17.140625" style="100" customWidth="1"/>
    <col min="259" max="259" width="21" style="100" customWidth="1"/>
    <col min="260" max="260" width="18.7109375" style="100" customWidth="1"/>
    <col min="261" max="261" width="21" style="100" customWidth="1"/>
    <col min="262" max="262" width="18.7109375" style="100" customWidth="1"/>
    <col min="263" max="263" width="21" style="100" customWidth="1"/>
    <col min="264" max="264" width="18.7109375" style="100" customWidth="1"/>
    <col min="265" max="265" width="22.85546875" style="100" customWidth="1"/>
    <col min="266" max="508" width="9.140625" style="100"/>
    <col min="509" max="509" width="32.7109375" style="100" customWidth="1"/>
    <col min="510" max="510" width="9.140625" style="100"/>
    <col min="511" max="511" width="9.42578125" style="100" customWidth="1"/>
    <col min="512" max="512" width="13.42578125" style="100" customWidth="1"/>
    <col min="513" max="513" width="14.5703125" style="100" customWidth="1"/>
    <col min="514" max="514" width="17.140625" style="100" customWidth="1"/>
    <col min="515" max="515" width="21" style="100" customWidth="1"/>
    <col min="516" max="516" width="18.7109375" style="100" customWidth="1"/>
    <col min="517" max="517" width="21" style="100" customWidth="1"/>
    <col min="518" max="518" width="18.7109375" style="100" customWidth="1"/>
    <col min="519" max="519" width="21" style="100" customWidth="1"/>
    <col min="520" max="520" width="18.7109375" style="100" customWidth="1"/>
    <col min="521" max="521" width="22.85546875" style="100" customWidth="1"/>
    <col min="522" max="764" width="9.140625" style="100"/>
    <col min="765" max="765" width="32.7109375" style="100" customWidth="1"/>
    <col min="766" max="766" width="9.140625" style="100"/>
    <col min="767" max="767" width="9.42578125" style="100" customWidth="1"/>
    <col min="768" max="768" width="13.42578125" style="100" customWidth="1"/>
    <col min="769" max="769" width="14.5703125" style="100" customWidth="1"/>
    <col min="770" max="770" width="17.140625" style="100" customWidth="1"/>
    <col min="771" max="771" width="21" style="100" customWidth="1"/>
    <col min="772" max="772" width="18.7109375" style="100" customWidth="1"/>
    <col min="773" max="773" width="21" style="100" customWidth="1"/>
    <col min="774" max="774" width="18.7109375" style="100" customWidth="1"/>
    <col min="775" max="775" width="21" style="100" customWidth="1"/>
    <col min="776" max="776" width="18.7109375" style="100" customWidth="1"/>
    <col min="777" max="777" width="22.85546875" style="100" customWidth="1"/>
    <col min="778" max="1020" width="9.140625" style="100"/>
    <col min="1021" max="1021" width="32.7109375" style="100" customWidth="1"/>
    <col min="1022" max="1022" width="9.140625" style="100"/>
    <col min="1023" max="1023" width="9.42578125" style="100" customWidth="1"/>
    <col min="1024" max="1024" width="13.42578125" style="100" customWidth="1"/>
    <col min="1025" max="1025" width="14.5703125" style="100" customWidth="1"/>
    <col min="1026" max="1026" width="17.140625" style="100" customWidth="1"/>
    <col min="1027" max="1027" width="21" style="100" customWidth="1"/>
    <col min="1028" max="1028" width="18.7109375" style="100" customWidth="1"/>
    <col min="1029" max="1029" width="21" style="100" customWidth="1"/>
    <col min="1030" max="1030" width="18.7109375" style="100" customWidth="1"/>
    <col min="1031" max="1031" width="21" style="100" customWidth="1"/>
    <col min="1032" max="1032" width="18.7109375" style="100" customWidth="1"/>
    <col min="1033" max="1033" width="22.85546875" style="100" customWidth="1"/>
    <col min="1034" max="1276" width="9.140625" style="100"/>
    <col min="1277" max="1277" width="32.7109375" style="100" customWidth="1"/>
    <col min="1278" max="1278" width="9.140625" style="100"/>
    <col min="1279" max="1279" width="9.42578125" style="100" customWidth="1"/>
    <col min="1280" max="1280" width="13.42578125" style="100" customWidth="1"/>
    <col min="1281" max="1281" width="14.5703125" style="100" customWidth="1"/>
    <col min="1282" max="1282" width="17.140625" style="100" customWidth="1"/>
    <col min="1283" max="1283" width="21" style="100" customWidth="1"/>
    <col min="1284" max="1284" width="18.7109375" style="100" customWidth="1"/>
    <col min="1285" max="1285" width="21" style="100" customWidth="1"/>
    <col min="1286" max="1286" width="18.7109375" style="100" customWidth="1"/>
    <col min="1287" max="1287" width="21" style="100" customWidth="1"/>
    <col min="1288" max="1288" width="18.7109375" style="100" customWidth="1"/>
    <col min="1289" max="1289" width="22.85546875" style="100" customWidth="1"/>
    <col min="1290" max="1532" width="9.140625" style="100"/>
    <col min="1533" max="1533" width="32.7109375" style="100" customWidth="1"/>
    <col min="1534" max="1534" width="9.140625" style="100"/>
    <col min="1535" max="1535" width="9.42578125" style="100" customWidth="1"/>
    <col min="1536" max="1536" width="13.42578125" style="100" customWidth="1"/>
    <col min="1537" max="1537" width="14.5703125" style="100" customWidth="1"/>
    <col min="1538" max="1538" width="17.140625" style="100" customWidth="1"/>
    <col min="1539" max="1539" width="21" style="100" customWidth="1"/>
    <col min="1540" max="1540" width="18.7109375" style="100" customWidth="1"/>
    <col min="1541" max="1541" width="21" style="100" customWidth="1"/>
    <col min="1542" max="1542" width="18.7109375" style="100" customWidth="1"/>
    <col min="1543" max="1543" width="21" style="100" customWidth="1"/>
    <col min="1544" max="1544" width="18.7109375" style="100" customWidth="1"/>
    <col min="1545" max="1545" width="22.85546875" style="100" customWidth="1"/>
    <col min="1546" max="1788" width="9.140625" style="100"/>
    <col min="1789" max="1789" width="32.7109375" style="100" customWidth="1"/>
    <col min="1790" max="1790" width="9.140625" style="100"/>
    <col min="1791" max="1791" width="9.42578125" style="100" customWidth="1"/>
    <col min="1792" max="1792" width="13.42578125" style="100" customWidth="1"/>
    <col min="1793" max="1793" width="14.5703125" style="100" customWidth="1"/>
    <col min="1794" max="1794" width="17.140625" style="100" customWidth="1"/>
    <col min="1795" max="1795" width="21" style="100" customWidth="1"/>
    <col min="1796" max="1796" width="18.7109375" style="100" customWidth="1"/>
    <col min="1797" max="1797" width="21" style="100" customWidth="1"/>
    <col min="1798" max="1798" width="18.7109375" style="100" customWidth="1"/>
    <col min="1799" max="1799" width="21" style="100" customWidth="1"/>
    <col min="1800" max="1800" width="18.7109375" style="100" customWidth="1"/>
    <col min="1801" max="1801" width="22.85546875" style="100" customWidth="1"/>
    <col min="1802" max="2044" width="9.140625" style="100"/>
    <col min="2045" max="2045" width="32.7109375" style="100" customWidth="1"/>
    <col min="2046" max="2046" width="9.140625" style="100"/>
    <col min="2047" max="2047" width="9.42578125" style="100" customWidth="1"/>
    <col min="2048" max="2048" width="13.42578125" style="100" customWidth="1"/>
    <col min="2049" max="2049" width="14.5703125" style="100" customWidth="1"/>
    <col min="2050" max="2050" width="17.140625" style="100" customWidth="1"/>
    <col min="2051" max="2051" width="21" style="100" customWidth="1"/>
    <col min="2052" max="2052" width="18.7109375" style="100" customWidth="1"/>
    <col min="2053" max="2053" width="21" style="100" customWidth="1"/>
    <col min="2054" max="2054" width="18.7109375" style="100" customWidth="1"/>
    <col min="2055" max="2055" width="21" style="100" customWidth="1"/>
    <col min="2056" max="2056" width="18.7109375" style="100" customWidth="1"/>
    <col min="2057" max="2057" width="22.85546875" style="100" customWidth="1"/>
    <col min="2058" max="2300" width="9.140625" style="100"/>
    <col min="2301" max="2301" width="32.7109375" style="100" customWidth="1"/>
    <col min="2302" max="2302" width="9.140625" style="100"/>
    <col min="2303" max="2303" width="9.42578125" style="100" customWidth="1"/>
    <col min="2304" max="2304" width="13.42578125" style="100" customWidth="1"/>
    <col min="2305" max="2305" width="14.5703125" style="100" customWidth="1"/>
    <col min="2306" max="2306" width="17.140625" style="100" customWidth="1"/>
    <col min="2307" max="2307" width="21" style="100" customWidth="1"/>
    <col min="2308" max="2308" width="18.7109375" style="100" customWidth="1"/>
    <col min="2309" max="2309" width="21" style="100" customWidth="1"/>
    <col min="2310" max="2310" width="18.7109375" style="100" customWidth="1"/>
    <col min="2311" max="2311" width="21" style="100" customWidth="1"/>
    <col min="2312" max="2312" width="18.7109375" style="100" customWidth="1"/>
    <col min="2313" max="2313" width="22.85546875" style="100" customWidth="1"/>
    <col min="2314" max="2556" width="9.140625" style="100"/>
    <col min="2557" max="2557" width="32.7109375" style="100" customWidth="1"/>
    <col min="2558" max="2558" width="9.140625" style="100"/>
    <col min="2559" max="2559" width="9.42578125" style="100" customWidth="1"/>
    <col min="2560" max="2560" width="13.42578125" style="100" customWidth="1"/>
    <col min="2561" max="2561" width="14.5703125" style="100" customWidth="1"/>
    <col min="2562" max="2562" width="17.140625" style="100" customWidth="1"/>
    <col min="2563" max="2563" width="21" style="100" customWidth="1"/>
    <col min="2564" max="2564" width="18.7109375" style="100" customWidth="1"/>
    <col min="2565" max="2565" width="21" style="100" customWidth="1"/>
    <col min="2566" max="2566" width="18.7109375" style="100" customWidth="1"/>
    <col min="2567" max="2567" width="21" style="100" customWidth="1"/>
    <col min="2568" max="2568" width="18.7109375" style="100" customWidth="1"/>
    <col min="2569" max="2569" width="22.85546875" style="100" customWidth="1"/>
    <col min="2570" max="2812" width="9.140625" style="100"/>
    <col min="2813" max="2813" width="32.7109375" style="100" customWidth="1"/>
    <col min="2814" max="2814" width="9.140625" style="100"/>
    <col min="2815" max="2815" width="9.42578125" style="100" customWidth="1"/>
    <col min="2816" max="2816" width="13.42578125" style="100" customWidth="1"/>
    <col min="2817" max="2817" width="14.5703125" style="100" customWidth="1"/>
    <col min="2818" max="2818" width="17.140625" style="100" customWidth="1"/>
    <col min="2819" max="2819" width="21" style="100" customWidth="1"/>
    <col min="2820" max="2820" width="18.7109375" style="100" customWidth="1"/>
    <col min="2821" max="2821" width="21" style="100" customWidth="1"/>
    <col min="2822" max="2822" width="18.7109375" style="100" customWidth="1"/>
    <col min="2823" max="2823" width="21" style="100" customWidth="1"/>
    <col min="2824" max="2824" width="18.7109375" style="100" customWidth="1"/>
    <col min="2825" max="2825" width="22.85546875" style="100" customWidth="1"/>
    <col min="2826" max="3068" width="9.140625" style="100"/>
    <col min="3069" max="3069" width="32.7109375" style="100" customWidth="1"/>
    <col min="3070" max="3070" width="9.140625" style="100"/>
    <col min="3071" max="3071" width="9.42578125" style="100" customWidth="1"/>
    <col min="3072" max="3072" width="13.42578125" style="100" customWidth="1"/>
    <col min="3073" max="3073" width="14.5703125" style="100" customWidth="1"/>
    <col min="3074" max="3074" width="17.140625" style="100" customWidth="1"/>
    <col min="3075" max="3075" width="21" style="100" customWidth="1"/>
    <col min="3076" max="3076" width="18.7109375" style="100" customWidth="1"/>
    <col min="3077" max="3077" width="21" style="100" customWidth="1"/>
    <col min="3078" max="3078" width="18.7109375" style="100" customWidth="1"/>
    <col min="3079" max="3079" width="21" style="100" customWidth="1"/>
    <col min="3080" max="3080" width="18.7109375" style="100" customWidth="1"/>
    <col min="3081" max="3081" width="22.85546875" style="100" customWidth="1"/>
    <col min="3082" max="3324" width="9.140625" style="100"/>
    <col min="3325" max="3325" width="32.7109375" style="100" customWidth="1"/>
    <col min="3326" max="3326" width="9.140625" style="100"/>
    <col min="3327" max="3327" width="9.42578125" style="100" customWidth="1"/>
    <col min="3328" max="3328" width="13.42578125" style="100" customWidth="1"/>
    <col min="3329" max="3329" width="14.5703125" style="100" customWidth="1"/>
    <col min="3330" max="3330" width="17.140625" style="100" customWidth="1"/>
    <col min="3331" max="3331" width="21" style="100" customWidth="1"/>
    <col min="3332" max="3332" width="18.7109375" style="100" customWidth="1"/>
    <col min="3333" max="3333" width="21" style="100" customWidth="1"/>
    <col min="3334" max="3334" width="18.7109375" style="100" customWidth="1"/>
    <col min="3335" max="3335" width="21" style="100" customWidth="1"/>
    <col min="3336" max="3336" width="18.7109375" style="100" customWidth="1"/>
    <col min="3337" max="3337" width="22.85546875" style="100" customWidth="1"/>
    <col min="3338" max="3580" width="9.140625" style="100"/>
    <col min="3581" max="3581" width="32.7109375" style="100" customWidth="1"/>
    <col min="3582" max="3582" width="9.140625" style="100"/>
    <col min="3583" max="3583" width="9.42578125" style="100" customWidth="1"/>
    <col min="3584" max="3584" width="13.42578125" style="100" customWidth="1"/>
    <col min="3585" max="3585" width="14.5703125" style="100" customWidth="1"/>
    <col min="3586" max="3586" width="17.140625" style="100" customWidth="1"/>
    <col min="3587" max="3587" width="21" style="100" customWidth="1"/>
    <col min="3588" max="3588" width="18.7109375" style="100" customWidth="1"/>
    <col min="3589" max="3589" width="21" style="100" customWidth="1"/>
    <col min="3590" max="3590" width="18.7109375" style="100" customWidth="1"/>
    <col min="3591" max="3591" width="21" style="100" customWidth="1"/>
    <col min="3592" max="3592" width="18.7109375" style="100" customWidth="1"/>
    <col min="3593" max="3593" width="22.85546875" style="100" customWidth="1"/>
    <col min="3594" max="3836" width="9.140625" style="100"/>
    <col min="3837" max="3837" width="32.7109375" style="100" customWidth="1"/>
    <col min="3838" max="3838" width="9.140625" style="100"/>
    <col min="3839" max="3839" width="9.42578125" style="100" customWidth="1"/>
    <col min="3840" max="3840" width="13.42578125" style="100" customWidth="1"/>
    <col min="3841" max="3841" width="14.5703125" style="100" customWidth="1"/>
    <col min="3842" max="3842" width="17.140625" style="100" customWidth="1"/>
    <col min="3843" max="3843" width="21" style="100" customWidth="1"/>
    <col min="3844" max="3844" width="18.7109375" style="100" customWidth="1"/>
    <col min="3845" max="3845" width="21" style="100" customWidth="1"/>
    <col min="3846" max="3846" width="18.7109375" style="100" customWidth="1"/>
    <col min="3847" max="3847" width="21" style="100" customWidth="1"/>
    <col min="3848" max="3848" width="18.7109375" style="100" customWidth="1"/>
    <col min="3849" max="3849" width="22.85546875" style="100" customWidth="1"/>
    <col min="3850" max="4092" width="9.140625" style="100"/>
    <col min="4093" max="4093" width="32.7109375" style="100" customWidth="1"/>
    <col min="4094" max="4094" width="9.140625" style="100"/>
    <col min="4095" max="4095" width="9.42578125" style="100" customWidth="1"/>
    <col min="4096" max="4096" width="13.42578125" style="100" customWidth="1"/>
    <col min="4097" max="4097" width="14.5703125" style="100" customWidth="1"/>
    <col min="4098" max="4098" width="17.140625" style="100" customWidth="1"/>
    <col min="4099" max="4099" width="21" style="100" customWidth="1"/>
    <col min="4100" max="4100" width="18.7109375" style="100" customWidth="1"/>
    <col min="4101" max="4101" width="21" style="100" customWidth="1"/>
    <col min="4102" max="4102" width="18.7109375" style="100" customWidth="1"/>
    <col min="4103" max="4103" width="21" style="100" customWidth="1"/>
    <col min="4104" max="4104" width="18.7109375" style="100" customWidth="1"/>
    <col min="4105" max="4105" width="22.85546875" style="100" customWidth="1"/>
    <col min="4106" max="4348" width="9.140625" style="100"/>
    <col min="4349" max="4349" width="32.7109375" style="100" customWidth="1"/>
    <col min="4350" max="4350" width="9.140625" style="100"/>
    <col min="4351" max="4351" width="9.42578125" style="100" customWidth="1"/>
    <col min="4352" max="4352" width="13.42578125" style="100" customWidth="1"/>
    <col min="4353" max="4353" width="14.5703125" style="100" customWidth="1"/>
    <col min="4354" max="4354" width="17.140625" style="100" customWidth="1"/>
    <col min="4355" max="4355" width="21" style="100" customWidth="1"/>
    <col min="4356" max="4356" width="18.7109375" style="100" customWidth="1"/>
    <col min="4357" max="4357" width="21" style="100" customWidth="1"/>
    <col min="4358" max="4358" width="18.7109375" style="100" customWidth="1"/>
    <col min="4359" max="4359" width="21" style="100" customWidth="1"/>
    <col min="4360" max="4360" width="18.7109375" style="100" customWidth="1"/>
    <col min="4361" max="4361" width="22.85546875" style="100" customWidth="1"/>
    <col min="4362" max="4604" width="9.140625" style="100"/>
    <col min="4605" max="4605" width="32.7109375" style="100" customWidth="1"/>
    <col min="4606" max="4606" width="9.140625" style="100"/>
    <col min="4607" max="4607" width="9.42578125" style="100" customWidth="1"/>
    <col min="4608" max="4608" width="13.42578125" style="100" customWidth="1"/>
    <col min="4609" max="4609" width="14.5703125" style="100" customWidth="1"/>
    <col min="4610" max="4610" width="17.140625" style="100" customWidth="1"/>
    <col min="4611" max="4611" width="21" style="100" customWidth="1"/>
    <col min="4612" max="4612" width="18.7109375" style="100" customWidth="1"/>
    <col min="4613" max="4613" width="21" style="100" customWidth="1"/>
    <col min="4614" max="4614" width="18.7109375" style="100" customWidth="1"/>
    <col min="4615" max="4615" width="21" style="100" customWidth="1"/>
    <col min="4616" max="4616" width="18.7109375" style="100" customWidth="1"/>
    <col min="4617" max="4617" width="22.85546875" style="100" customWidth="1"/>
    <col min="4618" max="4860" width="9.140625" style="100"/>
    <col min="4861" max="4861" width="32.7109375" style="100" customWidth="1"/>
    <col min="4862" max="4862" width="9.140625" style="100"/>
    <col min="4863" max="4863" width="9.42578125" style="100" customWidth="1"/>
    <col min="4864" max="4864" width="13.42578125" style="100" customWidth="1"/>
    <col min="4865" max="4865" width="14.5703125" style="100" customWidth="1"/>
    <col min="4866" max="4866" width="17.140625" style="100" customWidth="1"/>
    <col min="4867" max="4867" width="21" style="100" customWidth="1"/>
    <col min="4868" max="4868" width="18.7109375" style="100" customWidth="1"/>
    <col min="4869" max="4869" width="21" style="100" customWidth="1"/>
    <col min="4870" max="4870" width="18.7109375" style="100" customWidth="1"/>
    <col min="4871" max="4871" width="21" style="100" customWidth="1"/>
    <col min="4872" max="4872" width="18.7109375" style="100" customWidth="1"/>
    <col min="4873" max="4873" width="22.85546875" style="100" customWidth="1"/>
    <col min="4874" max="5116" width="9.140625" style="100"/>
    <col min="5117" max="5117" width="32.7109375" style="100" customWidth="1"/>
    <col min="5118" max="5118" width="9.140625" style="100"/>
    <col min="5119" max="5119" width="9.42578125" style="100" customWidth="1"/>
    <col min="5120" max="5120" width="13.42578125" style="100" customWidth="1"/>
    <col min="5121" max="5121" width="14.5703125" style="100" customWidth="1"/>
    <col min="5122" max="5122" width="17.140625" style="100" customWidth="1"/>
    <col min="5123" max="5123" width="21" style="100" customWidth="1"/>
    <col min="5124" max="5124" width="18.7109375" style="100" customWidth="1"/>
    <col min="5125" max="5125" width="21" style="100" customWidth="1"/>
    <col min="5126" max="5126" width="18.7109375" style="100" customWidth="1"/>
    <col min="5127" max="5127" width="21" style="100" customWidth="1"/>
    <col min="5128" max="5128" width="18.7109375" style="100" customWidth="1"/>
    <col min="5129" max="5129" width="22.85546875" style="100" customWidth="1"/>
    <col min="5130" max="5372" width="9.140625" style="100"/>
    <col min="5373" max="5373" width="32.7109375" style="100" customWidth="1"/>
    <col min="5374" max="5374" width="9.140625" style="100"/>
    <col min="5375" max="5375" width="9.42578125" style="100" customWidth="1"/>
    <col min="5376" max="5376" width="13.42578125" style="100" customWidth="1"/>
    <col min="5377" max="5377" width="14.5703125" style="100" customWidth="1"/>
    <col min="5378" max="5378" width="17.140625" style="100" customWidth="1"/>
    <col min="5379" max="5379" width="21" style="100" customWidth="1"/>
    <col min="5380" max="5380" width="18.7109375" style="100" customWidth="1"/>
    <col min="5381" max="5381" width="21" style="100" customWidth="1"/>
    <col min="5382" max="5382" width="18.7109375" style="100" customWidth="1"/>
    <col min="5383" max="5383" width="21" style="100" customWidth="1"/>
    <col min="5384" max="5384" width="18.7109375" style="100" customWidth="1"/>
    <col min="5385" max="5385" width="22.85546875" style="100" customWidth="1"/>
    <col min="5386" max="5628" width="9.140625" style="100"/>
    <col min="5629" max="5629" width="32.7109375" style="100" customWidth="1"/>
    <col min="5630" max="5630" width="9.140625" style="100"/>
    <col min="5631" max="5631" width="9.42578125" style="100" customWidth="1"/>
    <col min="5632" max="5632" width="13.42578125" style="100" customWidth="1"/>
    <col min="5633" max="5633" width="14.5703125" style="100" customWidth="1"/>
    <col min="5634" max="5634" width="17.140625" style="100" customWidth="1"/>
    <col min="5635" max="5635" width="21" style="100" customWidth="1"/>
    <col min="5636" max="5636" width="18.7109375" style="100" customWidth="1"/>
    <col min="5637" max="5637" width="21" style="100" customWidth="1"/>
    <col min="5638" max="5638" width="18.7109375" style="100" customWidth="1"/>
    <col min="5639" max="5639" width="21" style="100" customWidth="1"/>
    <col min="5640" max="5640" width="18.7109375" style="100" customWidth="1"/>
    <col min="5641" max="5641" width="22.85546875" style="100" customWidth="1"/>
    <col min="5642" max="5884" width="9.140625" style="100"/>
    <col min="5885" max="5885" width="32.7109375" style="100" customWidth="1"/>
    <col min="5886" max="5886" width="9.140625" style="100"/>
    <col min="5887" max="5887" width="9.42578125" style="100" customWidth="1"/>
    <col min="5888" max="5888" width="13.42578125" style="100" customWidth="1"/>
    <col min="5889" max="5889" width="14.5703125" style="100" customWidth="1"/>
    <col min="5890" max="5890" width="17.140625" style="100" customWidth="1"/>
    <col min="5891" max="5891" width="21" style="100" customWidth="1"/>
    <col min="5892" max="5892" width="18.7109375" style="100" customWidth="1"/>
    <col min="5893" max="5893" width="21" style="100" customWidth="1"/>
    <col min="5894" max="5894" width="18.7109375" style="100" customWidth="1"/>
    <col min="5895" max="5895" width="21" style="100" customWidth="1"/>
    <col min="5896" max="5896" width="18.7109375" style="100" customWidth="1"/>
    <col min="5897" max="5897" width="22.85546875" style="100" customWidth="1"/>
    <col min="5898" max="6140" width="9.140625" style="100"/>
    <col min="6141" max="6141" width="32.7109375" style="100" customWidth="1"/>
    <col min="6142" max="6142" width="9.140625" style="100"/>
    <col min="6143" max="6143" width="9.42578125" style="100" customWidth="1"/>
    <col min="6144" max="6144" width="13.42578125" style="100" customWidth="1"/>
    <col min="6145" max="6145" width="14.5703125" style="100" customWidth="1"/>
    <col min="6146" max="6146" width="17.140625" style="100" customWidth="1"/>
    <col min="6147" max="6147" width="21" style="100" customWidth="1"/>
    <col min="6148" max="6148" width="18.7109375" style="100" customWidth="1"/>
    <col min="6149" max="6149" width="21" style="100" customWidth="1"/>
    <col min="6150" max="6150" width="18.7109375" style="100" customWidth="1"/>
    <col min="6151" max="6151" width="21" style="100" customWidth="1"/>
    <col min="6152" max="6152" width="18.7109375" style="100" customWidth="1"/>
    <col min="6153" max="6153" width="22.85546875" style="100" customWidth="1"/>
    <col min="6154" max="6396" width="9.140625" style="100"/>
    <col min="6397" max="6397" width="32.7109375" style="100" customWidth="1"/>
    <col min="6398" max="6398" width="9.140625" style="100"/>
    <col min="6399" max="6399" width="9.42578125" style="100" customWidth="1"/>
    <col min="6400" max="6400" width="13.42578125" style="100" customWidth="1"/>
    <col min="6401" max="6401" width="14.5703125" style="100" customWidth="1"/>
    <col min="6402" max="6402" width="17.140625" style="100" customWidth="1"/>
    <col min="6403" max="6403" width="21" style="100" customWidth="1"/>
    <col min="6404" max="6404" width="18.7109375" style="100" customWidth="1"/>
    <col min="6405" max="6405" width="21" style="100" customWidth="1"/>
    <col min="6406" max="6406" width="18.7109375" style="100" customWidth="1"/>
    <col min="6407" max="6407" width="21" style="100" customWidth="1"/>
    <col min="6408" max="6408" width="18.7109375" style="100" customWidth="1"/>
    <col min="6409" max="6409" width="22.85546875" style="100" customWidth="1"/>
    <col min="6410" max="6652" width="9.140625" style="100"/>
    <col min="6653" max="6653" width="32.7109375" style="100" customWidth="1"/>
    <col min="6654" max="6654" width="9.140625" style="100"/>
    <col min="6655" max="6655" width="9.42578125" style="100" customWidth="1"/>
    <col min="6656" max="6656" width="13.42578125" style="100" customWidth="1"/>
    <col min="6657" max="6657" width="14.5703125" style="100" customWidth="1"/>
    <col min="6658" max="6658" width="17.140625" style="100" customWidth="1"/>
    <col min="6659" max="6659" width="21" style="100" customWidth="1"/>
    <col min="6660" max="6660" width="18.7109375" style="100" customWidth="1"/>
    <col min="6661" max="6661" width="21" style="100" customWidth="1"/>
    <col min="6662" max="6662" width="18.7109375" style="100" customWidth="1"/>
    <col min="6663" max="6663" width="21" style="100" customWidth="1"/>
    <col min="6664" max="6664" width="18.7109375" style="100" customWidth="1"/>
    <col min="6665" max="6665" width="22.85546875" style="100" customWidth="1"/>
    <col min="6666" max="6908" width="9.140625" style="100"/>
    <col min="6909" max="6909" width="32.7109375" style="100" customWidth="1"/>
    <col min="6910" max="6910" width="9.140625" style="100"/>
    <col min="6911" max="6911" width="9.42578125" style="100" customWidth="1"/>
    <col min="6912" max="6912" width="13.42578125" style="100" customWidth="1"/>
    <col min="6913" max="6913" width="14.5703125" style="100" customWidth="1"/>
    <col min="6914" max="6914" width="17.140625" style="100" customWidth="1"/>
    <col min="6915" max="6915" width="21" style="100" customWidth="1"/>
    <col min="6916" max="6916" width="18.7109375" style="100" customWidth="1"/>
    <col min="6917" max="6917" width="21" style="100" customWidth="1"/>
    <col min="6918" max="6918" width="18.7109375" style="100" customWidth="1"/>
    <col min="6919" max="6919" width="21" style="100" customWidth="1"/>
    <col min="6920" max="6920" width="18.7109375" style="100" customWidth="1"/>
    <col min="6921" max="6921" width="22.85546875" style="100" customWidth="1"/>
    <col min="6922" max="7164" width="9.140625" style="100"/>
    <col min="7165" max="7165" width="32.7109375" style="100" customWidth="1"/>
    <col min="7166" max="7166" width="9.140625" style="100"/>
    <col min="7167" max="7167" width="9.42578125" style="100" customWidth="1"/>
    <col min="7168" max="7168" width="13.42578125" style="100" customWidth="1"/>
    <col min="7169" max="7169" width="14.5703125" style="100" customWidth="1"/>
    <col min="7170" max="7170" width="17.140625" style="100" customWidth="1"/>
    <col min="7171" max="7171" width="21" style="100" customWidth="1"/>
    <col min="7172" max="7172" width="18.7109375" style="100" customWidth="1"/>
    <col min="7173" max="7173" width="21" style="100" customWidth="1"/>
    <col min="7174" max="7174" width="18.7109375" style="100" customWidth="1"/>
    <col min="7175" max="7175" width="21" style="100" customWidth="1"/>
    <col min="7176" max="7176" width="18.7109375" style="100" customWidth="1"/>
    <col min="7177" max="7177" width="22.85546875" style="100" customWidth="1"/>
    <col min="7178" max="7420" width="9.140625" style="100"/>
    <col min="7421" max="7421" width="32.7109375" style="100" customWidth="1"/>
    <col min="7422" max="7422" width="9.140625" style="100"/>
    <col min="7423" max="7423" width="9.42578125" style="100" customWidth="1"/>
    <col min="7424" max="7424" width="13.42578125" style="100" customWidth="1"/>
    <col min="7425" max="7425" width="14.5703125" style="100" customWidth="1"/>
    <col min="7426" max="7426" width="17.140625" style="100" customWidth="1"/>
    <col min="7427" max="7427" width="21" style="100" customWidth="1"/>
    <col min="7428" max="7428" width="18.7109375" style="100" customWidth="1"/>
    <col min="7429" max="7429" width="21" style="100" customWidth="1"/>
    <col min="7430" max="7430" width="18.7109375" style="100" customWidth="1"/>
    <col min="7431" max="7431" width="21" style="100" customWidth="1"/>
    <col min="7432" max="7432" width="18.7109375" style="100" customWidth="1"/>
    <col min="7433" max="7433" width="22.85546875" style="100" customWidth="1"/>
    <col min="7434" max="7676" width="9.140625" style="100"/>
    <col min="7677" max="7677" width="32.7109375" style="100" customWidth="1"/>
    <col min="7678" max="7678" width="9.140625" style="100"/>
    <col min="7679" max="7679" width="9.42578125" style="100" customWidth="1"/>
    <col min="7680" max="7680" width="13.42578125" style="100" customWidth="1"/>
    <col min="7681" max="7681" width="14.5703125" style="100" customWidth="1"/>
    <col min="7682" max="7682" width="17.140625" style="100" customWidth="1"/>
    <col min="7683" max="7683" width="21" style="100" customWidth="1"/>
    <col min="7684" max="7684" width="18.7109375" style="100" customWidth="1"/>
    <col min="7685" max="7685" width="21" style="100" customWidth="1"/>
    <col min="7686" max="7686" width="18.7109375" style="100" customWidth="1"/>
    <col min="7687" max="7687" width="21" style="100" customWidth="1"/>
    <col min="7688" max="7688" width="18.7109375" style="100" customWidth="1"/>
    <col min="7689" max="7689" width="22.85546875" style="100" customWidth="1"/>
    <col min="7690" max="7932" width="9.140625" style="100"/>
    <col min="7933" max="7933" width="32.7109375" style="100" customWidth="1"/>
    <col min="7934" max="7934" width="9.140625" style="100"/>
    <col min="7935" max="7935" width="9.42578125" style="100" customWidth="1"/>
    <col min="7936" max="7936" width="13.42578125" style="100" customWidth="1"/>
    <col min="7937" max="7937" width="14.5703125" style="100" customWidth="1"/>
    <col min="7938" max="7938" width="17.140625" style="100" customWidth="1"/>
    <col min="7939" max="7939" width="21" style="100" customWidth="1"/>
    <col min="7940" max="7940" width="18.7109375" style="100" customWidth="1"/>
    <col min="7941" max="7941" width="21" style="100" customWidth="1"/>
    <col min="7942" max="7942" width="18.7109375" style="100" customWidth="1"/>
    <col min="7943" max="7943" width="21" style="100" customWidth="1"/>
    <col min="7944" max="7944" width="18.7109375" style="100" customWidth="1"/>
    <col min="7945" max="7945" width="22.85546875" style="100" customWidth="1"/>
    <col min="7946" max="8188" width="9.140625" style="100"/>
    <col min="8189" max="8189" width="32.7109375" style="100" customWidth="1"/>
    <col min="8190" max="8190" width="9.140625" style="100"/>
    <col min="8191" max="8191" width="9.42578125" style="100" customWidth="1"/>
    <col min="8192" max="8192" width="13.42578125" style="100" customWidth="1"/>
    <col min="8193" max="8193" width="14.5703125" style="100" customWidth="1"/>
    <col min="8194" max="8194" width="17.140625" style="100" customWidth="1"/>
    <col min="8195" max="8195" width="21" style="100" customWidth="1"/>
    <col min="8196" max="8196" width="18.7109375" style="100" customWidth="1"/>
    <col min="8197" max="8197" width="21" style="100" customWidth="1"/>
    <col min="8198" max="8198" width="18.7109375" style="100" customWidth="1"/>
    <col min="8199" max="8199" width="21" style="100" customWidth="1"/>
    <col min="8200" max="8200" width="18.7109375" style="100" customWidth="1"/>
    <col min="8201" max="8201" width="22.85546875" style="100" customWidth="1"/>
    <col min="8202" max="8444" width="9.140625" style="100"/>
    <col min="8445" max="8445" width="32.7109375" style="100" customWidth="1"/>
    <col min="8446" max="8446" width="9.140625" style="100"/>
    <col min="8447" max="8447" width="9.42578125" style="100" customWidth="1"/>
    <col min="8448" max="8448" width="13.42578125" style="100" customWidth="1"/>
    <col min="8449" max="8449" width="14.5703125" style="100" customWidth="1"/>
    <col min="8450" max="8450" width="17.140625" style="100" customWidth="1"/>
    <col min="8451" max="8451" width="21" style="100" customWidth="1"/>
    <col min="8452" max="8452" width="18.7109375" style="100" customWidth="1"/>
    <col min="8453" max="8453" width="21" style="100" customWidth="1"/>
    <col min="8454" max="8454" width="18.7109375" style="100" customWidth="1"/>
    <col min="8455" max="8455" width="21" style="100" customWidth="1"/>
    <col min="8456" max="8456" width="18.7109375" style="100" customWidth="1"/>
    <col min="8457" max="8457" width="22.85546875" style="100" customWidth="1"/>
    <col min="8458" max="8700" width="9.140625" style="100"/>
    <col min="8701" max="8701" width="32.7109375" style="100" customWidth="1"/>
    <col min="8702" max="8702" width="9.140625" style="100"/>
    <col min="8703" max="8703" width="9.42578125" style="100" customWidth="1"/>
    <col min="8704" max="8704" width="13.42578125" style="100" customWidth="1"/>
    <col min="8705" max="8705" width="14.5703125" style="100" customWidth="1"/>
    <col min="8706" max="8706" width="17.140625" style="100" customWidth="1"/>
    <col min="8707" max="8707" width="21" style="100" customWidth="1"/>
    <col min="8708" max="8708" width="18.7109375" style="100" customWidth="1"/>
    <col min="8709" max="8709" width="21" style="100" customWidth="1"/>
    <col min="8710" max="8710" width="18.7109375" style="100" customWidth="1"/>
    <col min="8711" max="8711" width="21" style="100" customWidth="1"/>
    <col min="8712" max="8712" width="18.7109375" style="100" customWidth="1"/>
    <col min="8713" max="8713" width="22.85546875" style="100" customWidth="1"/>
    <col min="8714" max="8956" width="9.140625" style="100"/>
    <col min="8957" max="8957" width="32.7109375" style="100" customWidth="1"/>
    <col min="8958" max="8958" width="9.140625" style="100"/>
    <col min="8959" max="8959" width="9.42578125" style="100" customWidth="1"/>
    <col min="8960" max="8960" width="13.42578125" style="100" customWidth="1"/>
    <col min="8961" max="8961" width="14.5703125" style="100" customWidth="1"/>
    <col min="8962" max="8962" width="17.140625" style="100" customWidth="1"/>
    <col min="8963" max="8963" width="21" style="100" customWidth="1"/>
    <col min="8964" max="8964" width="18.7109375" style="100" customWidth="1"/>
    <col min="8965" max="8965" width="21" style="100" customWidth="1"/>
    <col min="8966" max="8966" width="18.7109375" style="100" customWidth="1"/>
    <col min="8967" max="8967" width="21" style="100" customWidth="1"/>
    <col min="8968" max="8968" width="18.7109375" style="100" customWidth="1"/>
    <col min="8969" max="8969" width="22.85546875" style="100" customWidth="1"/>
    <col min="8970" max="9212" width="9.140625" style="100"/>
    <col min="9213" max="9213" width="32.7109375" style="100" customWidth="1"/>
    <col min="9214" max="9214" width="9.140625" style="100"/>
    <col min="9215" max="9215" width="9.42578125" style="100" customWidth="1"/>
    <col min="9216" max="9216" width="13.42578125" style="100" customWidth="1"/>
    <col min="9217" max="9217" width="14.5703125" style="100" customWidth="1"/>
    <col min="9218" max="9218" width="17.140625" style="100" customWidth="1"/>
    <col min="9219" max="9219" width="21" style="100" customWidth="1"/>
    <col min="9220" max="9220" width="18.7109375" style="100" customWidth="1"/>
    <col min="9221" max="9221" width="21" style="100" customWidth="1"/>
    <col min="9222" max="9222" width="18.7109375" style="100" customWidth="1"/>
    <col min="9223" max="9223" width="21" style="100" customWidth="1"/>
    <col min="9224" max="9224" width="18.7109375" style="100" customWidth="1"/>
    <col min="9225" max="9225" width="22.85546875" style="100" customWidth="1"/>
    <col min="9226" max="9468" width="9.140625" style="100"/>
    <col min="9469" max="9469" width="32.7109375" style="100" customWidth="1"/>
    <col min="9470" max="9470" width="9.140625" style="100"/>
    <col min="9471" max="9471" width="9.42578125" style="100" customWidth="1"/>
    <col min="9472" max="9472" width="13.42578125" style="100" customWidth="1"/>
    <col min="9473" max="9473" width="14.5703125" style="100" customWidth="1"/>
    <col min="9474" max="9474" width="17.140625" style="100" customWidth="1"/>
    <col min="9475" max="9475" width="21" style="100" customWidth="1"/>
    <col min="9476" max="9476" width="18.7109375" style="100" customWidth="1"/>
    <col min="9477" max="9477" width="21" style="100" customWidth="1"/>
    <col min="9478" max="9478" width="18.7109375" style="100" customWidth="1"/>
    <col min="9479" max="9479" width="21" style="100" customWidth="1"/>
    <col min="9480" max="9480" width="18.7109375" style="100" customWidth="1"/>
    <col min="9481" max="9481" width="22.85546875" style="100" customWidth="1"/>
    <col min="9482" max="9724" width="9.140625" style="100"/>
    <col min="9725" max="9725" width="32.7109375" style="100" customWidth="1"/>
    <col min="9726" max="9726" width="9.140625" style="100"/>
    <col min="9727" max="9727" width="9.42578125" style="100" customWidth="1"/>
    <col min="9728" max="9728" width="13.42578125" style="100" customWidth="1"/>
    <col min="9729" max="9729" width="14.5703125" style="100" customWidth="1"/>
    <col min="9730" max="9730" width="17.140625" style="100" customWidth="1"/>
    <col min="9731" max="9731" width="21" style="100" customWidth="1"/>
    <col min="9732" max="9732" width="18.7109375" style="100" customWidth="1"/>
    <col min="9733" max="9733" width="21" style="100" customWidth="1"/>
    <col min="9734" max="9734" width="18.7109375" style="100" customWidth="1"/>
    <col min="9735" max="9735" width="21" style="100" customWidth="1"/>
    <col min="9736" max="9736" width="18.7109375" style="100" customWidth="1"/>
    <col min="9737" max="9737" width="22.85546875" style="100" customWidth="1"/>
    <col min="9738" max="9980" width="9.140625" style="100"/>
    <col min="9981" max="9981" width="32.7109375" style="100" customWidth="1"/>
    <col min="9982" max="9982" width="9.140625" style="100"/>
    <col min="9983" max="9983" width="9.42578125" style="100" customWidth="1"/>
    <col min="9984" max="9984" width="13.42578125" style="100" customWidth="1"/>
    <col min="9985" max="9985" width="14.5703125" style="100" customWidth="1"/>
    <col min="9986" max="9986" width="17.140625" style="100" customWidth="1"/>
    <col min="9987" max="9987" width="21" style="100" customWidth="1"/>
    <col min="9988" max="9988" width="18.7109375" style="100" customWidth="1"/>
    <col min="9989" max="9989" width="21" style="100" customWidth="1"/>
    <col min="9990" max="9990" width="18.7109375" style="100" customWidth="1"/>
    <col min="9991" max="9991" width="21" style="100" customWidth="1"/>
    <col min="9992" max="9992" width="18.7109375" style="100" customWidth="1"/>
    <col min="9993" max="9993" width="22.85546875" style="100" customWidth="1"/>
    <col min="9994" max="10236" width="9.140625" style="100"/>
    <col min="10237" max="10237" width="32.7109375" style="100" customWidth="1"/>
    <col min="10238" max="10238" width="9.140625" style="100"/>
    <col min="10239" max="10239" width="9.42578125" style="100" customWidth="1"/>
    <col min="10240" max="10240" width="13.42578125" style="100" customWidth="1"/>
    <col min="10241" max="10241" width="14.5703125" style="100" customWidth="1"/>
    <col min="10242" max="10242" width="17.140625" style="100" customWidth="1"/>
    <col min="10243" max="10243" width="21" style="100" customWidth="1"/>
    <col min="10244" max="10244" width="18.7109375" style="100" customWidth="1"/>
    <col min="10245" max="10245" width="21" style="100" customWidth="1"/>
    <col min="10246" max="10246" width="18.7109375" style="100" customWidth="1"/>
    <col min="10247" max="10247" width="21" style="100" customWidth="1"/>
    <col min="10248" max="10248" width="18.7109375" style="100" customWidth="1"/>
    <col min="10249" max="10249" width="22.85546875" style="100" customWidth="1"/>
    <col min="10250" max="10492" width="9.140625" style="100"/>
    <col min="10493" max="10493" width="32.7109375" style="100" customWidth="1"/>
    <col min="10494" max="10494" width="9.140625" style="100"/>
    <col min="10495" max="10495" width="9.42578125" style="100" customWidth="1"/>
    <col min="10496" max="10496" width="13.42578125" style="100" customWidth="1"/>
    <col min="10497" max="10497" width="14.5703125" style="100" customWidth="1"/>
    <col min="10498" max="10498" width="17.140625" style="100" customWidth="1"/>
    <col min="10499" max="10499" width="21" style="100" customWidth="1"/>
    <col min="10500" max="10500" width="18.7109375" style="100" customWidth="1"/>
    <col min="10501" max="10501" width="21" style="100" customWidth="1"/>
    <col min="10502" max="10502" width="18.7109375" style="100" customWidth="1"/>
    <col min="10503" max="10503" width="21" style="100" customWidth="1"/>
    <col min="10504" max="10504" width="18.7109375" style="100" customWidth="1"/>
    <col min="10505" max="10505" width="22.85546875" style="100" customWidth="1"/>
    <col min="10506" max="10748" width="9.140625" style="100"/>
    <col min="10749" max="10749" width="32.7109375" style="100" customWidth="1"/>
    <col min="10750" max="10750" width="9.140625" style="100"/>
    <col min="10751" max="10751" width="9.42578125" style="100" customWidth="1"/>
    <col min="10752" max="10752" width="13.42578125" style="100" customWidth="1"/>
    <col min="10753" max="10753" width="14.5703125" style="100" customWidth="1"/>
    <col min="10754" max="10754" width="17.140625" style="100" customWidth="1"/>
    <col min="10755" max="10755" width="21" style="100" customWidth="1"/>
    <col min="10756" max="10756" width="18.7109375" style="100" customWidth="1"/>
    <col min="10757" max="10757" width="21" style="100" customWidth="1"/>
    <col min="10758" max="10758" width="18.7109375" style="100" customWidth="1"/>
    <col min="10759" max="10759" width="21" style="100" customWidth="1"/>
    <col min="10760" max="10760" width="18.7109375" style="100" customWidth="1"/>
    <col min="10761" max="10761" width="22.85546875" style="100" customWidth="1"/>
    <col min="10762" max="11004" width="9.140625" style="100"/>
    <col min="11005" max="11005" width="32.7109375" style="100" customWidth="1"/>
    <col min="11006" max="11006" width="9.140625" style="100"/>
    <col min="11007" max="11007" width="9.42578125" style="100" customWidth="1"/>
    <col min="11008" max="11008" width="13.42578125" style="100" customWidth="1"/>
    <col min="11009" max="11009" width="14.5703125" style="100" customWidth="1"/>
    <col min="11010" max="11010" width="17.140625" style="100" customWidth="1"/>
    <col min="11011" max="11011" width="21" style="100" customWidth="1"/>
    <col min="11012" max="11012" width="18.7109375" style="100" customWidth="1"/>
    <col min="11013" max="11013" width="21" style="100" customWidth="1"/>
    <col min="11014" max="11014" width="18.7109375" style="100" customWidth="1"/>
    <col min="11015" max="11015" width="21" style="100" customWidth="1"/>
    <col min="11016" max="11016" width="18.7109375" style="100" customWidth="1"/>
    <col min="11017" max="11017" width="22.85546875" style="100" customWidth="1"/>
    <col min="11018" max="11260" width="9.140625" style="100"/>
    <col min="11261" max="11261" width="32.7109375" style="100" customWidth="1"/>
    <col min="11262" max="11262" width="9.140625" style="100"/>
    <col min="11263" max="11263" width="9.42578125" style="100" customWidth="1"/>
    <col min="11264" max="11264" width="13.42578125" style="100" customWidth="1"/>
    <col min="11265" max="11265" width="14.5703125" style="100" customWidth="1"/>
    <col min="11266" max="11266" width="17.140625" style="100" customWidth="1"/>
    <col min="11267" max="11267" width="21" style="100" customWidth="1"/>
    <col min="11268" max="11268" width="18.7109375" style="100" customWidth="1"/>
    <col min="11269" max="11269" width="21" style="100" customWidth="1"/>
    <col min="11270" max="11270" width="18.7109375" style="100" customWidth="1"/>
    <col min="11271" max="11271" width="21" style="100" customWidth="1"/>
    <col min="11272" max="11272" width="18.7109375" style="100" customWidth="1"/>
    <col min="11273" max="11273" width="22.85546875" style="100" customWidth="1"/>
    <col min="11274" max="11516" width="9.140625" style="100"/>
    <col min="11517" max="11517" width="32.7109375" style="100" customWidth="1"/>
    <col min="11518" max="11518" width="9.140625" style="100"/>
    <col min="11519" max="11519" width="9.42578125" style="100" customWidth="1"/>
    <col min="11520" max="11520" width="13.42578125" style="100" customWidth="1"/>
    <col min="11521" max="11521" width="14.5703125" style="100" customWidth="1"/>
    <col min="11522" max="11522" width="17.140625" style="100" customWidth="1"/>
    <col min="11523" max="11523" width="21" style="100" customWidth="1"/>
    <col min="11524" max="11524" width="18.7109375" style="100" customWidth="1"/>
    <col min="11525" max="11525" width="21" style="100" customWidth="1"/>
    <col min="11526" max="11526" width="18.7109375" style="100" customWidth="1"/>
    <col min="11527" max="11527" width="21" style="100" customWidth="1"/>
    <col min="11528" max="11528" width="18.7109375" style="100" customWidth="1"/>
    <col min="11529" max="11529" width="22.85546875" style="100" customWidth="1"/>
    <col min="11530" max="11772" width="9.140625" style="100"/>
    <col min="11773" max="11773" width="32.7109375" style="100" customWidth="1"/>
    <col min="11774" max="11774" width="9.140625" style="100"/>
    <col min="11775" max="11775" width="9.42578125" style="100" customWidth="1"/>
    <col min="11776" max="11776" width="13.42578125" style="100" customWidth="1"/>
    <col min="11777" max="11777" width="14.5703125" style="100" customWidth="1"/>
    <col min="11778" max="11778" width="17.140625" style="100" customWidth="1"/>
    <col min="11779" max="11779" width="21" style="100" customWidth="1"/>
    <col min="11780" max="11780" width="18.7109375" style="100" customWidth="1"/>
    <col min="11781" max="11781" width="21" style="100" customWidth="1"/>
    <col min="11782" max="11782" width="18.7109375" style="100" customWidth="1"/>
    <col min="11783" max="11783" width="21" style="100" customWidth="1"/>
    <col min="11784" max="11784" width="18.7109375" style="100" customWidth="1"/>
    <col min="11785" max="11785" width="22.85546875" style="100" customWidth="1"/>
    <col min="11786" max="12028" width="9.140625" style="100"/>
    <col min="12029" max="12029" width="32.7109375" style="100" customWidth="1"/>
    <col min="12030" max="12030" width="9.140625" style="100"/>
    <col min="12031" max="12031" width="9.42578125" style="100" customWidth="1"/>
    <col min="12032" max="12032" width="13.42578125" style="100" customWidth="1"/>
    <col min="12033" max="12033" width="14.5703125" style="100" customWidth="1"/>
    <col min="12034" max="12034" width="17.140625" style="100" customWidth="1"/>
    <col min="12035" max="12035" width="21" style="100" customWidth="1"/>
    <col min="12036" max="12036" width="18.7109375" style="100" customWidth="1"/>
    <col min="12037" max="12037" width="21" style="100" customWidth="1"/>
    <col min="12038" max="12038" width="18.7109375" style="100" customWidth="1"/>
    <col min="12039" max="12039" width="21" style="100" customWidth="1"/>
    <col min="12040" max="12040" width="18.7109375" style="100" customWidth="1"/>
    <col min="12041" max="12041" width="22.85546875" style="100" customWidth="1"/>
    <col min="12042" max="12284" width="9.140625" style="100"/>
    <col min="12285" max="12285" width="32.7109375" style="100" customWidth="1"/>
    <col min="12286" max="12286" width="9.140625" style="100"/>
    <col min="12287" max="12287" width="9.42578125" style="100" customWidth="1"/>
    <col min="12288" max="12288" width="13.42578125" style="100" customWidth="1"/>
    <col min="12289" max="12289" width="14.5703125" style="100" customWidth="1"/>
    <col min="12290" max="12290" width="17.140625" style="100" customWidth="1"/>
    <col min="12291" max="12291" width="21" style="100" customWidth="1"/>
    <col min="12292" max="12292" width="18.7109375" style="100" customWidth="1"/>
    <col min="12293" max="12293" width="21" style="100" customWidth="1"/>
    <col min="12294" max="12294" width="18.7109375" style="100" customWidth="1"/>
    <col min="12295" max="12295" width="21" style="100" customWidth="1"/>
    <col min="12296" max="12296" width="18.7109375" style="100" customWidth="1"/>
    <col min="12297" max="12297" width="22.85546875" style="100" customWidth="1"/>
    <col min="12298" max="12540" width="9.140625" style="100"/>
    <col min="12541" max="12541" width="32.7109375" style="100" customWidth="1"/>
    <col min="12542" max="12542" width="9.140625" style="100"/>
    <col min="12543" max="12543" width="9.42578125" style="100" customWidth="1"/>
    <col min="12544" max="12544" width="13.42578125" style="100" customWidth="1"/>
    <col min="12545" max="12545" width="14.5703125" style="100" customWidth="1"/>
    <col min="12546" max="12546" width="17.140625" style="100" customWidth="1"/>
    <col min="12547" max="12547" width="21" style="100" customWidth="1"/>
    <col min="12548" max="12548" width="18.7109375" style="100" customWidth="1"/>
    <col min="12549" max="12549" width="21" style="100" customWidth="1"/>
    <col min="12550" max="12550" width="18.7109375" style="100" customWidth="1"/>
    <col min="12551" max="12551" width="21" style="100" customWidth="1"/>
    <col min="12552" max="12552" width="18.7109375" style="100" customWidth="1"/>
    <col min="12553" max="12553" width="22.85546875" style="100" customWidth="1"/>
    <col min="12554" max="12796" width="9.140625" style="100"/>
    <col min="12797" max="12797" width="32.7109375" style="100" customWidth="1"/>
    <col min="12798" max="12798" width="9.140625" style="100"/>
    <col min="12799" max="12799" width="9.42578125" style="100" customWidth="1"/>
    <col min="12800" max="12800" width="13.42578125" style="100" customWidth="1"/>
    <col min="12801" max="12801" width="14.5703125" style="100" customWidth="1"/>
    <col min="12802" max="12802" width="17.140625" style="100" customWidth="1"/>
    <col min="12803" max="12803" width="21" style="100" customWidth="1"/>
    <col min="12804" max="12804" width="18.7109375" style="100" customWidth="1"/>
    <col min="12805" max="12805" width="21" style="100" customWidth="1"/>
    <col min="12806" max="12806" width="18.7109375" style="100" customWidth="1"/>
    <col min="12807" max="12807" width="21" style="100" customWidth="1"/>
    <col min="12808" max="12808" width="18.7109375" style="100" customWidth="1"/>
    <col min="12809" max="12809" width="22.85546875" style="100" customWidth="1"/>
    <col min="12810" max="13052" width="9.140625" style="100"/>
    <col min="13053" max="13053" width="32.7109375" style="100" customWidth="1"/>
    <col min="13054" max="13054" width="9.140625" style="100"/>
    <col min="13055" max="13055" width="9.42578125" style="100" customWidth="1"/>
    <col min="13056" max="13056" width="13.42578125" style="100" customWidth="1"/>
    <col min="13057" max="13057" width="14.5703125" style="100" customWidth="1"/>
    <col min="13058" max="13058" width="17.140625" style="100" customWidth="1"/>
    <col min="13059" max="13059" width="21" style="100" customWidth="1"/>
    <col min="13060" max="13060" width="18.7109375" style="100" customWidth="1"/>
    <col min="13061" max="13061" width="21" style="100" customWidth="1"/>
    <col min="13062" max="13062" width="18.7109375" style="100" customWidth="1"/>
    <col min="13063" max="13063" width="21" style="100" customWidth="1"/>
    <col min="13064" max="13064" width="18.7109375" style="100" customWidth="1"/>
    <col min="13065" max="13065" width="22.85546875" style="100" customWidth="1"/>
    <col min="13066" max="13308" width="9.140625" style="100"/>
    <col min="13309" max="13309" width="32.7109375" style="100" customWidth="1"/>
    <col min="13310" max="13310" width="9.140625" style="100"/>
    <col min="13311" max="13311" width="9.42578125" style="100" customWidth="1"/>
    <col min="13312" max="13312" width="13.42578125" style="100" customWidth="1"/>
    <col min="13313" max="13313" width="14.5703125" style="100" customWidth="1"/>
    <col min="13314" max="13314" width="17.140625" style="100" customWidth="1"/>
    <col min="13315" max="13315" width="21" style="100" customWidth="1"/>
    <col min="13316" max="13316" width="18.7109375" style="100" customWidth="1"/>
    <col min="13317" max="13317" width="21" style="100" customWidth="1"/>
    <col min="13318" max="13318" width="18.7109375" style="100" customWidth="1"/>
    <col min="13319" max="13319" width="21" style="100" customWidth="1"/>
    <col min="13320" max="13320" width="18.7109375" style="100" customWidth="1"/>
    <col min="13321" max="13321" width="22.85546875" style="100" customWidth="1"/>
    <col min="13322" max="13564" width="9.140625" style="100"/>
    <col min="13565" max="13565" width="32.7109375" style="100" customWidth="1"/>
    <col min="13566" max="13566" width="9.140625" style="100"/>
    <col min="13567" max="13567" width="9.42578125" style="100" customWidth="1"/>
    <col min="13568" max="13568" width="13.42578125" style="100" customWidth="1"/>
    <col min="13569" max="13569" width="14.5703125" style="100" customWidth="1"/>
    <col min="13570" max="13570" width="17.140625" style="100" customWidth="1"/>
    <col min="13571" max="13571" width="21" style="100" customWidth="1"/>
    <col min="13572" max="13572" width="18.7109375" style="100" customWidth="1"/>
    <col min="13573" max="13573" width="21" style="100" customWidth="1"/>
    <col min="13574" max="13574" width="18.7109375" style="100" customWidth="1"/>
    <col min="13575" max="13575" width="21" style="100" customWidth="1"/>
    <col min="13576" max="13576" width="18.7109375" style="100" customWidth="1"/>
    <col min="13577" max="13577" width="22.85546875" style="100" customWidth="1"/>
    <col min="13578" max="13820" width="9.140625" style="100"/>
    <col min="13821" max="13821" width="32.7109375" style="100" customWidth="1"/>
    <col min="13822" max="13822" width="9.140625" style="100"/>
    <col min="13823" max="13823" width="9.42578125" style="100" customWidth="1"/>
    <col min="13824" max="13824" width="13.42578125" style="100" customWidth="1"/>
    <col min="13825" max="13825" width="14.5703125" style="100" customWidth="1"/>
    <col min="13826" max="13826" width="17.140625" style="100" customWidth="1"/>
    <col min="13827" max="13827" width="21" style="100" customWidth="1"/>
    <col min="13828" max="13828" width="18.7109375" style="100" customWidth="1"/>
    <col min="13829" max="13829" width="21" style="100" customWidth="1"/>
    <col min="13830" max="13830" width="18.7109375" style="100" customWidth="1"/>
    <col min="13831" max="13831" width="21" style="100" customWidth="1"/>
    <col min="13832" max="13832" width="18.7109375" style="100" customWidth="1"/>
    <col min="13833" max="13833" width="22.85546875" style="100" customWidth="1"/>
    <col min="13834" max="14076" width="9.140625" style="100"/>
    <col min="14077" max="14077" width="32.7109375" style="100" customWidth="1"/>
    <col min="14078" max="14078" width="9.140625" style="100"/>
    <col min="14079" max="14079" width="9.42578125" style="100" customWidth="1"/>
    <col min="14080" max="14080" width="13.42578125" style="100" customWidth="1"/>
    <col min="14081" max="14081" width="14.5703125" style="100" customWidth="1"/>
    <col min="14082" max="14082" width="17.140625" style="100" customWidth="1"/>
    <col min="14083" max="14083" width="21" style="100" customWidth="1"/>
    <col min="14084" max="14084" width="18.7109375" style="100" customWidth="1"/>
    <col min="14085" max="14085" width="21" style="100" customWidth="1"/>
    <col min="14086" max="14086" width="18.7109375" style="100" customWidth="1"/>
    <col min="14087" max="14087" width="21" style="100" customWidth="1"/>
    <col min="14088" max="14088" width="18.7109375" style="100" customWidth="1"/>
    <col min="14089" max="14089" width="22.85546875" style="100" customWidth="1"/>
    <col min="14090" max="14332" width="9.140625" style="100"/>
    <col min="14333" max="14333" width="32.7109375" style="100" customWidth="1"/>
    <col min="14334" max="14334" width="9.140625" style="100"/>
    <col min="14335" max="14335" width="9.42578125" style="100" customWidth="1"/>
    <col min="14336" max="14336" width="13.42578125" style="100" customWidth="1"/>
    <col min="14337" max="14337" width="14.5703125" style="100" customWidth="1"/>
    <col min="14338" max="14338" width="17.140625" style="100" customWidth="1"/>
    <col min="14339" max="14339" width="21" style="100" customWidth="1"/>
    <col min="14340" max="14340" width="18.7109375" style="100" customWidth="1"/>
    <col min="14341" max="14341" width="21" style="100" customWidth="1"/>
    <col min="14342" max="14342" width="18.7109375" style="100" customWidth="1"/>
    <col min="14343" max="14343" width="21" style="100" customWidth="1"/>
    <col min="14344" max="14344" width="18.7109375" style="100" customWidth="1"/>
    <col min="14345" max="14345" width="22.85546875" style="100" customWidth="1"/>
    <col min="14346" max="14588" width="9.140625" style="100"/>
    <col min="14589" max="14589" width="32.7109375" style="100" customWidth="1"/>
    <col min="14590" max="14590" width="9.140625" style="100"/>
    <col min="14591" max="14591" width="9.42578125" style="100" customWidth="1"/>
    <col min="14592" max="14592" width="13.42578125" style="100" customWidth="1"/>
    <col min="14593" max="14593" width="14.5703125" style="100" customWidth="1"/>
    <col min="14594" max="14594" width="17.140625" style="100" customWidth="1"/>
    <col min="14595" max="14595" width="21" style="100" customWidth="1"/>
    <col min="14596" max="14596" width="18.7109375" style="100" customWidth="1"/>
    <col min="14597" max="14597" width="21" style="100" customWidth="1"/>
    <col min="14598" max="14598" width="18.7109375" style="100" customWidth="1"/>
    <col min="14599" max="14599" width="21" style="100" customWidth="1"/>
    <col min="14600" max="14600" width="18.7109375" style="100" customWidth="1"/>
    <col min="14601" max="14601" width="22.85546875" style="100" customWidth="1"/>
    <col min="14602" max="14844" width="9.140625" style="100"/>
    <col min="14845" max="14845" width="32.7109375" style="100" customWidth="1"/>
    <col min="14846" max="14846" width="9.140625" style="100"/>
    <col min="14847" max="14847" width="9.42578125" style="100" customWidth="1"/>
    <col min="14848" max="14848" width="13.42578125" style="100" customWidth="1"/>
    <col min="14849" max="14849" width="14.5703125" style="100" customWidth="1"/>
    <col min="14850" max="14850" width="17.140625" style="100" customWidth="1"/>
    <col min="14851" max="14851" width="21" style="100" customWidth="1"/>
    <col min="14852" max="14852" width="18.7109375" style="100" customWidth="1"/>
    <col min="14853" max="14853" width="21" style="100" customWidth="1"/>
    <col min="14854" max="14854" width="18.7109375" style="100" customWidth="1"/>
    <col min="14855" max="14855" width="21" style="100" customWidth="1"/>
    <col min="14856" max="14856" width="18.7109375" style="100" customWidth="1"/>
    <col min="14857" max="14857" width="22.85546875" style="100" customWidth="1"/>
    <col min="14858" max="15100" width="9.140625" style="100"/>
    <col min="15101" max="15101" width="32.7109375" style="100" customWidth="1"/>
    <col min="15102" max="15102" width="9.140625" style="100"/>
    <col min="15103" max="15103" width="9.42578125" style="100" customWidth="1"/>
    <col min="15104" max="15104" width="13.42578125" style="100" customWidth="1"/>
    <col min="15105" max="15105" width="14.5703125" style="100" customWidth="1"/>
    <col min="15106" max="15106" width="17.140625" style="100" customWidth="1"/>
    <col min="15107" max="15107" width="21" style="100" customWidth="1"/>
    <col min="15108" max="15108" width="18.7109375" style="100" customWidth="1"/>
    <col min="15109" max="15109" width="21" style="100" customWidth="1"/>
    <col min="15110" max="15110" width="18.7109375" style="100" customWidth="1"/>
    <col min="15111" max="15111" width="21" style="100" customWidth="1"/>
    <col min="15112" max="15112" width="18.7109375" style="100" customWidth="1"/>
    <col min="15113" max="15113" width="22.85546875" style="100" customWidth="1"/>
    <col min="15114" max="15356" width="9.140625" style="100"/>
    <col min="15357" max="15357" width="32.7109375" style="100" customWidth="1"/>
    <col min="15358" max="15358" width="9.140625" style="100"/>
    <col min="15359" max="15359" width="9.42578125" style="100" customWidth="1"/>
    <col min="15360" max="15360" width="13.42578125" style="100" customWidth="1"/>
    <col min="15361" max="15361" width="14.5703125" style="100" customWidth="1"/>
    <col min="15362" max="15362" width="17.140625" style="100" customWidth="1"/>
    <col min="15363" max="15363" width="21" style="100" customWidth="1"/>
    <col min="15364" max="15364" width="18.7109375" style="100" customWidth="1"/>
    <col min="15365" max="15365" width="21" style="100" customWidth="1"/>
    <col min="15366" max="15366" width="18.7109375" style="100" customWidth="1"/>
    <col min="15367" max="15367" width="21" style="100" customWidth="1"/>
    <col min="15368" max="15368" width="18.7109375" style="100" customWidth="1"/>
    <col min="15369" max="15369" width="22.85546875" style="100" customWidth="1"/>
    <col min="15370" max="15612" width="9.140625" style="100"/>
    <col min="15613" max="15613" width="32.7109375" style="100" customWidth="1"/>
    <col min="15614" max="15614" width="9.140625" style="100"/>
    <col min="15615" max="15615" width="9.42578125" style="100" customWidth="1"/>
    <col min="15616" max="15616" width="13.42578125" style="100" customWidth="1"/>
    <col min="15617" max="15617" width="14.5703125" style="100" customWidth="1"/>
    <col min="15618" max="15618" width="17.140625" style="100" customWidth="1"/>
    <col min="15619" max="15619" width="21" style="100" customWidth="1"/>
    <col min="15620" max="15620" width="18.7109375" style="100" customWidth="1"/>
    <col min="15621" max="15621" width="21" style="100" customWidth="1"/>
    <col min="15622" max="15622" width="18.7109375" style="100" customWidth="1"/>
    <col min="15623" max="15623" width="21" style="100" customWidth="1"/>
    <col min="15624" max="15624" width="18.7109375" style="100" customWidth="1"/>
    <col min="15625" max="15625" width="22.85546875" style="100" customWidth="1"/>
    <col min="15626" max="15868" width="9.140625" style="100"/>
    <col min="15869" max="15869" width="32.7109375" style="100" customWidth="1"/>
    <col min="15870" max="15870" width="9.140625" style="100"/>
    <col min="15871" max="15871" width="9.42578125" style="100" customWidth="1"/>
    <col min="15872" max="15872" width="13.42578125" style="100" customWidth="1"/>
    <col min="15873" max="15873" width="14.5703125" style="100" customWidth="1"/>
    <col min="15874" max="15874" width="17.140625" style="100" customWidth="1"/>
    <col min="15875" max="15875" width="21" style="100" customWidth="1"/>
    <col min="15876" max="15876" width="18.7109375" style="100" customWidth="1"/>
    <col min="15877" max="15877" width="21" style="100" customWidth="1"/>
    <col min="15878" max="15878" width="18.7109375" style="100" customWidth="1"/>
    <col min="15879" max="15879" width="21" style="100" customWidth="1"/>
    <col min="15880" max="15880" width="18.7109375" style="100" customWidth="1"/>
    <col min="15881" max="15881" width="22.85546875" style="100" customWidth="1"/>
    <col min="15882" max="16124" width="9.140625" style="100"/>
    <col min="16125" max="16125" width="32.7109375" style="100" customWidth="1"/>
    <col min="16126" max="16126" width="9.140625" style="100"/>
    <col min="16127" max="16127" width="9.42578125" style="100" customWidth="1"/>
    <col min="16128" max="16128" width="13.42578125" style="100" customWidth="1"/>
    <col min="16129" max="16129" width="14.5703125" style="100" customWidth="1"/>
    <col min="16130" max="16130" width="17.140625" style="100" customWidth="1"/>
    <col min="16131" max="16131" width="21" style="100" customWidth="1"/>
    <col min="16132" max="16132" width="18.7109375" style="100" customWidth="1"/>
    <col min="16133" max="16133" width="21" style="100" customWidth="1"/>
    <col min="16134" max="16134" width="18.7109375" style="100" customWidth="1"/>
    <col min="16135" max="16135" width="21" style="100" customWidth="1"/>
    <col min="16136" max="16136" width="18.7109375" style="100" customWidth="1"/>
    <col min="16137" max="16137" width="22.85546875" style="100" customWidth="1"/>
    <col min="16138" max="16384" width="9.140625" style="100"/>
  </cols>
  <sheetData>
    <row r="1" spans="1:8" ht="38.25" x14ac:dyDescent="0.2">
      <c r="A1" s="171" t="s">
        <v>174</v>
      </c>
      <c r="B1" s="171" t="s">
        <v>185</v>
      </c>
      <c r="C1" s="171" t="s">
        <v>322</v>
      </c>
      <c r="D1" s="171" t="s">
        <v>323</v>
      </c>
      <c r="E1" s="171" t="s">
        <v>348</v>
      </c>
      <c r="F1" s="171" t="s">
        <v>325</v>
      </c>
      <c r="G1" s="171" t="s">
        <v>468</v>
      </c>
      <c r="H1" s="171" t="s">
        <v>440</v>
      </c>
    </row>
    <row r="2" spans="1:8" ht="15" x14ac:dyDescent="0.2">
      <c r="A2" s="162">
        <v>1</v>
      </c>
      <c r="B2" s="175" t="s">
        <v>445</v>
      </c>
      <c r="C2" s="174" t="s">
        <v>176</v>
      </c>
      <c r="D2" s="176">
        <v>2</v>
      </c>
      <c r="E2" s="176"/>
      <c r="F2" s="179">
        <v>105.33</v>
      </c>
      <c r="G2" s="224">
        <v>3</v>
      </c>
      <c r="H2" s="191">
        <f>F2*D2/G2</f>
        <v>70.22</v>
      </c>
    </row>
    <row r="3" spans="1:8" ht="15" x14ac:dyDescent="0.2">
      <c r="A3" s="162">
        <v>2</v>
      </c>
      <c r="B3" s="175" t="s">
        <v>446</v>
      </c>
      <c r="C3" s="174" t="s">
        <v>176</v>
      </c>
      <c r="D3" s="176">
        <v>1</v>
      </c>
      <c r="E3" s="176"/>
      <c r="F3" s="179">
        <v>194.26</v>
      </c>
      <c r="G3" s="224">
        <v>1</v>
      </c>
      <c r="H3" s="191">
        <f>D3*F3/G3</f>
        <v>194.26</v>
      </c>
    </row>
    <row r="4" spans="1:8" ht="15" x14ac:dyDescent="0.2">
      <c r="A4" s="151">
        <v>3</v>
      </c>
      <c r="B4" s="175" t="s">
        <v>187</v>
      </c>
      <c r="C4" s="174" t="s">
        <v>188</v>
      </c>
      <c r="D4" s="176">
        <v>16</v>
      </c>
      <c r="E4" s="176" t="s">
        <v>350</v>
      </c>
      <c r="F4" s="179">
        <v>8.31</v>
      </c>
      <c r="G4" s="224">
        <v>1</v>
      </c>
      <c r="H4" s="191">
        <f>D4*F4/G4</f>
        <v>132.96</v>
      </c>
    </row>
    <row r="5" spans="1:8" ht="15" x14ac:dyDescent="0.2">
      <c r="A5" s="151">
        <v>4</v>
      </c>
      <c r="B5" s="175" t="s">
        <v>189</v>
      </c>
      <c r="C5" s="174" t="s">
        <v>186</v>
      </c>
      <c r="D5" s="176">
        <v>36</v>
      </c>
      <c r="E5" s="176" t="s">
        <v>351</v>
      </c>
      <c r="F5" s="179">
        <v>7.28</v>
      </c>
      <c r="G5" s="224">
        <v>1</v>
      </c>
      <c r="H5" s="191">
        <f>F5*D5/G5</f>
        <v>262.08</v>
      </c>
    </row>
    <row r="6" spans="1:8" ht="15" x14ac:dyDescent="0.2">
      <c r="A6" s="151">
        <v>4</v>
      </c>
      <c r="B6" s="175" t="s">
        <v>395</v>
      </c>
      <c r="C6" s="174" t="s">
        <v>188</v>
      </c>
      <c r="D6" s="176">
        <v>55</v>
      </c>
      <c r="E6" s="176"/>
      <c r="F6" s="179">
        <v>32</v>
      </c>
      <c r="G6" s="224">
        <v>1</v>
      </c>
      <c r="H6" s="191">
        <f>D6*F6/G6</f>
        <v>1760</v>
      </c>
    </row>
    <row r="7" spans="1:8" ht="15" x14ac:dyDescent="0.2">
      <c r="A7" s="151">
        <v>5</v>
      </c>
      <c r="B7" s="175" t="s">
        <v>190</v>
      </c>
      <c r="C7" s="174" t="s">
        <v>186</v>
      </c>
      <c r="D7" s="176">
        <v>60</v>
      </c>
      <c r="E7" s="176" t="s">
        <v>351</v>
      </c>
      <c r="F7" s="179">
        <v>6.65</v>
      </c>
      <c r="G7" s="224">
        <v>1</v>
      </c>
      <c r="H7" s="179">
        <f>F7*D7/G7</f>
        <v>399</v>
      </c>
    </row>
    <row r="8" spans="1:8" ht="15" x14ac:dyDescent="0.2">
      <c r="A8" s="151">
        <v>6</v>
      </c>
      <c r="B8" s="175" t="s">
        <v>191</v>
      </c>
      <c r="C8" s="174" t="s">
        <v>192</v>
      </c>
      <c r="D8" s="176">
        <v>10</v>
      </c>
      <c r="E8" s="176" t="s">
        <v>352</v>
      </c>
      <c r="F8" s="179">
        <v>6.1</v>
      </c>
      <c r="G8" s="224">
        <v>1</v>
      </c>
      <c r="H8" s="179">
        <f>F8*D8/G8</f>
        <v>61</v>
      </c>
    </row>
    <row r="9" spans="1:8" ht="25.5" x14ac:dyDescent="0.2">
      <c r="A9" s="151">
        <v>7</v>
      </c>
      <c r="B9" s="175" t="s">
        <v>462</v>
      </c>
      <c r="C9" s="174" t="s">
        <v>176</v>
      </c>
      <c r="D9" s="176">
        <v>5</v>
      </c>
      <c r="E9" s="176"/>
      <c r="F9" s="179">
        <v>5.51</v>
      </c>
      <c r="G9" s="224">
        <v>3</v>
      </c>
      <c r="H9" s="179">
        <f>D9*F9/G9</f>
        <v>9.18</v>
      </c>
    </row>
    <row r="10" spans="1:8" ht="15" x14ac:dyDescent="0.2">
      <c r="A10" s="151">
        <v>8</v>
      </c>
      <c r="B10" s="175" t="s">
        <v>418</v>
      </c>
      <c r="C10" s="174" t="s">
        <v>176</v>
      </c>
      <c r="D10" s="176">
        <v>7</v>
      </c>
      <c r="E10" s="176" t="s">
        <v>353</v>
      </c>
      <c r="F10" s="179">
        <v>18.489999999999998</v>
      </c>
      <c r="G10" s="224">
        <v>1</v>
      </c>
      <c r="H10" s="179">
        <f>F10*D10/G10</f>
        <v>129.43</v>
      </c>
    </row>
    <row r="11" spans="1:8" ht="15" x14ac:dyDescent="0.2">
      <c r="A11" s="151">
        <v>9</v>
      </c>
      <c r="B11" s="175" t="s">
        <v>447</v>
      </c>
      <c r="C11" s="174" t="s">
        <v>176</v>
      </c>
      <c r="D11" s="176">
        <v>2</v>
      </c>
      <c r="E11" s="176"/>
      <c r="F11" s="179">
        <v>10.07</v>
      </c>
      <c r="G11" s="224">
        <v>1</v>
      </c>
      <c r="H11" s="179">
        <f>D11*F11/G11</f>
        <v>20.14</v>
      </c>
    </row>
    <row r="12" spans="1:8" ht="15" x14ac:dyDescent="0.2">
      <c r="A12" s="151">
        <v>10</v>
      </c>
      <c r="B12" s="175" t="s">
        <v>193</v>
      </c>
      <c r="C12" s="174" t="s">
        <v>188</v>
      </c>
      <c r="D12" s="176">
        <v>15</v>
      </c>
      <c r="E12" s="176" t="s">
        <v>354</v>
      </c>
      <c r="F12" s="179">
        <v>26.76</v>
      </c>
      <c r="G12" s="224">
        <v>1</v>
      </c>
      <c r="H12" s="179">
        <f t="shared" ref="H12:H29" si="0">F12*D12/G12</f>
        <v>401.4</v>
      </c>
    </row>
    <row r="13" spans="1:8" ht="15" x14ac:dyDescent="0.2">
      <c r="A13" s="151">
        <v>11</v>
      </c>
      <c r="B13" s="175" t="s">
        <v>194</v>
      </c>
      <c r="C13" s="174" t="s">
        <v>188</v>
      </c>
      <c r="D13" s="176">
        <v>5</v>
      </c>
      <c r="E13" s="176" t="s">
        <v>354</v>
      </c>
      <c r="F13" s="179">
        <v>13.23</v>
      </c>
      <c r="G13" s="224">
        <v>1</v>
      </c>
      <c r="H13" s="179">
        <f t="shared" si="0"/>
        <v>66.150000000000006</v>
      </c>
    </row>
    <row r="14" spans="1:8" ht="15" x14ac:dyDescent="0.2">
      <c r="A14" s="151">
        <v>12</v>
      </c>
      <c r="B14" s="175" t="s">
        <v>195</v>
      </c>
      <c r="C14" s="174" t="s">
        <v>188</v>
      </c>
      <c r="D14" s="176">
        <v>4</v>
      </c>
      <c r="E14" s="176" t="s">
        <v>425</v>
      </c>
      <c r="F14" s="179">
        <v>36.770000000000003</v>
      </c>
      <c r="G14" s="224">
        <v>1</v>
      </c>
      <c r="H14" s="179">
        <f t="shared" si="0"/>
        <v>147.08000000000001</v>
      </c>
    </row>
    <row r="15" spans="1:8" ht="25.5" x14ac:dyDescent="0.2">
      <c r="A15" s="151">
        <v>13</v>
      </c>
      <c r="B15" s="175" t="s">
        <v>196</v>
      </c>
      <c r="C15" s="174" t="s">
        <v>188</v>
      </c>
      <c r="D15" s="176">
        <v>17</v>
      </c>
      <c r="E15" s="176" t="s">
        <v>354</v>
      </c>
      <c r="F15" s="179">
        <v>16.11</v>
      </c>
      <c r="G15" s="224">
        <v>1</v>
      </c>
      <c r="H15" s="179">
        <f t="shared" si="0"/>
        <v>273.87</v>
      </c>
    </row>
    <row r="16" spans="1:8" ht="15" x14ac:dyDescent="0.2">
      <c r="A16" s="151">
        <v>14</v>
      </c>
      <c r="B16" s="175" t="s">
        <v>197</v>
      </c>
      <c r="C16" s="174" t="s">
        <v>188</v>
      </c>
      <c r="D16" s="176">
        <v>10</v>
      </c>
      <c r="E16" s="176" t="s">
        <v>354</v>
      </c>
      <c r="F16" s="179">
        <v>30.45</v>
      </c>
      <c r="G16" s="224">
        <v>1</v>
      </c>
      <c r="H16" s="179">
        <f t="shared" si="0"/>
        <v>304.5</v>
      </c>
    </row>
    <row r="17" spans="1:8" ht="25.5" x14ac:dyDescent="0.2">
      <c r="A17" s="151">
        <v>15</v>
      </c>
      <c r="B17" s="175" t="s">
        <v>198</v>
      </c>
      <c r="C17" s="174" t="s">
        <v>199</v>
      </c>
      <c r="D17" s="176">
        <v>75</v>
      </c>
      <c r="E17" s="176" t="s">
        <v>355</v>
      </c>
      <c r="F17" s="179">
        <v>4.75</v>
      </c>
      <c r="G17" s="224">
        <v>1</v>
      </c>
      <c r="H17" s="179">
        <f t="shared" si="0"/>
        <v>356.25</v>
      </c>
    </row>
    <row r="18" spans="1:8" ht="15" x14ac:dyDescent="0.2">
      <c r="A18" s="151">
        <v>16</v>
      </c>
      <c r="B18" s="175" t="s">
        <v>200</v>
      </c>
      <c r="C18" s="174" t="s">
        <v>188</v>
      </c>
      <c r="D18" s="176">
        <v>15</v>
      </c>
      <c r="E18" s="176" t="s">
        <v>354</v>
      </c>
      <c r="F18" s="179">
        <v>11.55</v>
      </c>
      <c r="G18" s="224">
        <v>1</v>
      </c>
      <c r="H18" s="179">
        <f t="shared" si="0"/>
        <v>173.25</v>
      </c>
    </row>
    <row r="19" spans="1:8" ht="25.5" x14ac:dyDescent="0.2">
      <c r="A19" s="151">
        <v>17</v>
      </c>
      <c r="B19" s="175" t="s">
        <v>460</v>
      </c>
      <c r="C19" s="174" t="s">
        <v>176</v>
      </c>
      <c r="D19" s="176">
        <v>2</v>
      </c>
      <c r="E19" s="176"/>
      <c r="F19" s="179">
        <v>17.04</v>
      </c>
      <c r="G19" s="224">
        <v>3</v>
      </c>
      <c r="H19" s="179">
        <f>F19*D19/G19</f>
        <v>11.36</v>
      </c>
    </row>
    <row r="20" spans="1:8" ht="76.5" x14ac:dyDescent="0.2">
      <c r="A20" s="151">
        <v>18</v>
      </c>
      <c r="B20" s="225" t="s">
        <v>459</v>
      </c>
      <c r="C20" s="174" t="s">
        <v>176</v>
      </c>
      <c r="D20" s="176">
        <v>3</v>
      </c>
      <c r="E20" s="176"/>
      <c r="F20" s="179">
        <v>22.3</v>
      </c>
      <c r="G20" s="224">
        <v>3</v>
      </c>
      <c r="H20" s="179">
        <f>D20*F20/G20</f>
        <v>22.3</v>
      </c>
    </row>
    <row r="21" spans="1:8" ht="38.25" x14ac:dyDescent="0.2">
      <c r="A21" s="151">
        <v>18</v>
      </c>
      <c r="B21" s="175" t="s">
        <v>461</v>
      </c>
      <c r="C21" s="174" t="s">
        <v>176</v>
      </c>
      <c r="D21" s="176">
        <v>2</v>
      </c>
      <c r="E21" s="176"/>
      <c r="F21" s="179">
        <v>21.21</v>
      </c>
      <c r="G21" s="224">
        <v>3</v>
      </c>
      <c r="H21" s="179">
        <f>D21*F21/G21</f>
        <v>14.14</v>
      </c>
    </row>
    <row r="22" spans="1:8" ht="15" x14ac:dyDescent="0.2">
      <c r="A22" s="151">
        <v>20</v>
      </c>
      <c r="B22" s="175" t="s">
        <v>201</v>
      </c>
      <c r="C22" s="174" t="s">
        <v>176</v>
      </c>
      <c r="D22" s="176">
        <v>10</v>
      </c>
      <c r="E22" s="176" t="s">
        <v>356</v>
      </c>
      <c r="F22" s="179">
        <v>9.58</v>
      </c>
      <c r="G22" s="224">
        <v>1</v>
      </c>
      <c r="H22" s="179">
        <f t="shared" si="0"/>
        <v>95.8</v>
      </c>
    </row>
    <row r="23" spans="1:8" ht="15" x14ac:dyDescent="0.2">
      <c r="A23" s="151">
        <v>21</v>
      </c>
      <c r="B23" s="175" t="s">
        <v>419</v>
      </c>
      <c r="C23" s="174" t="s">
        <v>176</v>
      </c>
      <c r="D23" s="176">
        <v>8</v>
      </c>
      <c r="E23" s="176" t="s">
        <v>356</v>
      </c>
      <c r="F23" s="179">
        <v>9.1300000000000008</v>
      </c>
      <c r="G23" s="224">
        <v>1</v>
      </c>
      <c r="H23" s="179">
        <f t="shared" si="0"/>
        <v>73.040000000000006</v>
      </c>
    </row>
    <row r="24" spans="1:8" ht="15" x14ac:dyDescent="0.2">
      <c r="A24" s="151">
        <v>22</v>
      </c>
      <c r="B24" s="175" t="s">
        <v>202</v>
      </c>
      <c r="C24" s="174" t="s">
        <v>176</v>
      </c>
      <c r="D24" s="176">
        <v>4</v>
      </c>
      <c r="E24" s="176" t="s">
        <v>356</v>
      </c>
      <c r="F24" s="179">
        <v>12.47</v>
      </c>
      <c r="G24" s="224">
        <v>1</v>
      </c>
      <c r="H24" s="179">
        <f t="shared" si="0"/>
        <v>49.88</v>
      </c>
    </row>
    <row r="25" spans="1:8" ht="15" x14ac:dyDescent="0.2">
      <c r="A25" s="151">
        <v>23</v>
      </c>
      <c r="B25" s="175" t="s">
        <v>203</v>
      </c>
      <c r="C25" s="174" t="s">
        <v>176</v>
      </c>
      <c r="D25" s="176">
        <v>16</v>
      </c>
      <c r="E25" s="176" t="s">
        <v>356</v>
      </c>
      <c r="F25" s="179">
        <v>10.31</v>
      </c>
      <c r="G25" s="224">
        <v>1</v>
      </c>
      <c r="H25" s="179">
        <f t="shared" si="0"/>
        <v>164.96</v>
      </c>
    </row>
    <row r="26" spans="1:8" ht="15" x14ac:dyDescent="0.2">
      <c r="A26" s="151">
        <v>24</v>
      </c>
      <c r="B26" s="175" t="s">
        <v>420</v>
      </c>
      <c r="C26" s="174" t="s">
        <v>176</v>
      </c>
      <c r="D26" s="176">
        <v>6</v>
      </c>
      <c r="E26" s="176" t="s">
        <v>356</v>
      </c>
      <c r="F26" s="179">
        <v>11.13</v>
      </c>
      <c r="G26" s="224">
        <v>1</v>
      </c>
      <c r="H26" s="179">
        <f t="shared" si="0"/>
        <v>66.78</v>
      </c>
    </row>
    <row r="27" spans="1:8" ht="15" x14ac:dyDescent="0.2">
      <c r="A27" s="151">
        <v>25</v>
      </c>
      <c r="B27" s="175" t="s">
        <v>204</v>
      </c>
      <c r="C27" s="174" t="s">
        <v>176</v>
      </c>
      <c r="D27" s="176">
        <v>4</v>
      </c>
      <c r="E27" s="176" t="s">
        <v>356</v>
      </c>
      <c r="F27" s="179">
        <v>13.13</v>
      </c>
      <c r="G27" s="224">
        <v>1</v>
      </c>
      <c r="H27" s="179">
        <f t="shared" si="0"/>
        <v>52.52</v>
      </c>
    </row>
    <row r="28" spans="1:8" ht="15" x14ac:dyDescent="0.2">
      <c r="A28" s="151">
        <v>26</v>
      </c>
      <c r="B28" s="175" t="s">
        <v>205</v>
      </c>
      <c r="C28" s="174" t="s">
        <v>176</v>
      </c>
      <c r="D28" s="176">
        <v>5</v>
      </c>
      <c r="E28" s="176" t="s">
        <v>357</v>
      </c>
      <c r="F28" s="179">
        <v>1.75</v>
      </c>
      <c r="G28" s="224">
        <v>1</v>
      </c>
      <c r="H28" s="179">
        <f t="shared" si="0"/>
        <v>8.75</v>
      </c>
    </row>
    <row r="29" spans="1:8" ht="15" x14ac:dyDescent="0.2">
      <c r="A29" s="151">
        <v>27</v>
      </c>
      <c r="B29" s="175" t="s">
        <v>206</v>
      </c>
      <c r="C29" s="174" t="s">
        <v>176</v>
      </c>
      <c r="D29" s="176">
        <v>100</v>
      </c>
      <c r="E29" s="176" t="s">
        <v>331</v>
      </c>
      <c r="F29" s="179">
        <v>0.52</v>
      </c>
      <c r="G29" s="224">
        <v>1</v>
      </c>
      <c r="H29" s="179">
        <f t="shared" si="0"/>
        <v>52</v>
      </c>
    </row>
    <row r="30" spans="1:8" ht="15" x14ac:dyDescent="0.2">
      <c r="A30" s="151">
        <v>28</v>
      </c>
      <c r="B30" s="175" t="s">
        <v>437</v>
      </c>
      <c r="C30" s="174" t="s">
        <v>176</v>
      </c>
      <c r="D30" s="176">
        <v>4</v>
      </c>
      <c r="E30" s="176"/>
      <c r="F30" s="179">
        <v>8.83</v>
      </c>
      <c r="G30" s="224">
        <v>1</v>
      </c>
      <c r="H30" s="179">
        <f>D30*F30/G30</f>
        <v>35.32</v>
      </c>
    </row>
    <row r="31" spans="1:8" ht="15" x14ac:dyDescent="0.2">
      <c r="A31" s="151">
        <v>29</v>
      </c>
      <c r="B31" s="175" t="s">
        <v>207</v>
      </c>
      <c r="C31" s="174" t="s">
        <v>176</v>
      </c>
      <c r="D31" s="176">
        <v>100</v>
      </c>
      <c r="E31" s="176" t="s">
        <v>358</v>
      </c>
      <c r="F31" s="179">
        <v>2.65</v>
      </c>
      <c r="G31" s="224">
        <v>1</v>
      </c>
      <c r="H31" s="179">
        <f>F31*D31/G31</f>
        <v>265</v>
      </c>
    </row>
    <row r="32" spans="1:8" ht="15" x14ac:dyDescent="0.2">
      <c r="A32" s="151">
        <v>30</v>
      </c>
      <c r="B32" s="175" t="s">
        <v>422</v>
      </c>
      <c r="C32" s="174" t="s">
        <v>421</v>
      </c>
      <c r="D32" s="176">
        <v>2</v>
      </c>
      <c r="E32" s="176" t="s">
        <v>359</v>
      </c>
      <c r="F32" s="179">
        <v>2.4500000000000002</v>
      </c>
      <c r="G32" s="224">
        <v>1</v>
      </c>
      <c r="H32" s="179">
        <f>F32*D32/G32</f>
        <v>4.9000000000000004</v>
      </c>
    </row>
    <row r="33" spans="1:8" ht="15" x14ac:dyDescent="0.2">
      <c r="A33" s="151">
        <v>31</v>
      </c>
      <c r="B33" s="175" t="s">
        <v>209</v>
      </c>
      <c r="C33" s="174" t="s">
        <v>188</v>
      </c>
      <c r="D33" s="176">
        <v>4</v>
      </c>
      <c r="E33" s="176" t="s">
        <v>354</v>
      </c>
      <c r="F33" s="179">
        <v>15.75</v>
      </c>
      <c r="G33" s="224">
        <v>1</v>
      </c>
      <c r="H33" s="179">
        <f>F33*D33/G33</f>
        <v>63</v>
      </c>
    </row>
    <row r="34" spans="1:8" ht="15" x14ac:dyDescent="0.2">
      <c r="A34" s="151">
        <v>32</v>
      </c>
      <c r="B34" s="175" t="s">
        <v>210</v>
      </c>
      <c r="C34" s="174" t="s">
        <v>188</v>
      </c>
      <c r="D34" s="176">
        <v>2</v>
      </c>
      <c r="E34" s="176" t="s">
        <v>354</v>
      </c>
      <c r="F34" s="179">
        <v>11.75</v>
      </c>
      <c r="G34" s="224">
        <v>1</v>
      </c>
      <c r="H34" s="179">
        <f>F34*D34/G34</f>
        <v>23.5</v>
      </c>
    </row>
    <row r="35" spans="1:8" ht="15" x14ac:dyDescent="0.2">
      <c r="A35" s="151">
        <v>33</v>
      </c>
      <c r="B35" s="175" t="s">
        <v>438</v>
      </c>
      <c r="C35" s="174" t="s">
        <v>176</v>
      </c>
      <c r="D35" s="176">
        <v>2</v>
      </c>
      <c r="E35" s="176"/>
      <c r="F35" s="179">
        <v>33.69</v>
      </c>
      <c r="G35" s="224">
        <v>3</v>
      </c>
      <c r="H35" s="179">
        <f>D35*F35/G35</f>
        <v>22.46</v>
      </c>
    </row>
    <row r="36" spans="1:8" ht="15" x14ac:dyDescent="0.2">
      <c r="A36" s="151">
        <v>34</v>
      </c>
      <c r="B36" s="175" t="s">
        <v>211</v>
      </c>
      <c r="C36" s="174" t="s">
        <v>188</v>
      </c>
      <c r="D36" s="176">
        <v>5</v>
      </c>
      <c r="E36" s="176" t="s">
        <v>360</v>
      </c>
      <c r="F36" s="179">
        <v>2.48</v>
      </c>
      <c r="G36" s="224">
        <v>1</v>
      </c>
      <c r="H36" s="179">
        <f>F36*D36/G36</f>
        <v>12.4</v>
      </c>
    </row>
    <row r="37" spans="1:8" ht="15" x14ac:dyDescent="0.2">
      <c r="A37" s="151">
        <v>35</v>
      </c>
      <c r="B37" s="175" t="s">
        <v>212</v>
      </c>
      <c r="C37" s="174" t="s">
        <v>188</v>
      </c>
      <c r="D37" s="176">
        <v>15</v>
      </c>
      <c r="E37" s="176" t="s">
        <v>360</v>
      </c>
      <c r="F37" s="179">
        <v>8.25</v>
      </c>
      <c r="G37" s="224">
        <v>1</v>
      </c>
      <c r="H37" s="179">
        <f>F37*D37/G37</f>
        <v>123.75</v>
      </c>
    </row>
    <row r="38" spans="1:8" ht="15" x14ac:dyDescent="0.2">
      <c r="A38" s="151">
        <v>36</v>
      </c>
      <c r="B38" s="175" t="s">
        <v>423</v>
      </c>
      <c r="C38" s="174" t="s">
        <v>176</v>
      </c>
      <c r="D38" s="176">
        <v>10</v>
      </c>
      <c r="E38" s="176" t="s">
        <v>361</v>
      </c>
      <c r="F38" s="179">
        <v>2.41</v>
      </c>
      <c r="G38" s="224">
        <v>1</v>
      </c>
      <c r="H38" s="179">
        <f>F38*D38/G38</f>
        <v>24.1</v>
      </c>
    </row>
    <row r="39" spans="1:8" ht="25.5" x14ac:dyDescent="0.2">
      <c r="A39" s="151">
        <v>37</v>
      </c>
      <c r="B39" s="175" t="s">
        <v>467</v>
      </c>
      <c r="C39" s="174" t="s">
        <v>465</v>
      </c>
      <c r="D39" s="176">
        <v>30</v>
      </c>
      <c r="E39" s="176" t="s">
        <v>466</v>
      </c>
      <c r="F39" s="179">
        <v>3.08</v>
      </c>
      <c r="G39" s="224">
        <v>3</v>
      </c>
      <c r="H39" s="191">
        <f>D39*F39/G39</f>
        <v>30.8</v>
      </c>
    </row>
    <row r="40" spans="1:8" ht="15" x14ac:dyDescent="0.2">
      <c r="A40" s="151">
        <v>38</v>
      </c>
      <c r="B40" s="175" t="s">
        <v>213</v>
      </c>
      <c r="C40" s="174" t="s">
        <v>176</v>
      </c>
      <c r="D40" s="176">
        <v>5</v>
      </c>
      <c r="E40" s="176" t="s">
        <v>361</v>
      </c>
      <c r="F40" s="179">
        <v>3.33</v>
      </c>
      <c r="G40" s="224">
        <v>1</v>
      </c>
      <c r="H40" s="191">
        <f t="shared" ref="H40:H46" si="1">F40*D40/G40</f>
        <v>16.649999999999999</v>
      </c>
    </row>
    <row r="41" spans="1:8" ht="15" x14ac:dyDescent="0.2">
      <c r="A41" s="151">
        <v>39</v>
      </c>
      <c r="B41" s="175" t="s">
        <v>214</v>
      </c>
      <c r="C41" s="174" t="s">
        <v>176</v>
      </c>
      <c r="D41" s="176">
        <v>10</v>
      </c>
      <c r="E41" s="176" t="s">
        <v>357</v>
      </c>
      <c r="F41" s="179">
        <v>4.25</v>
      </c>
      <c r="G41" s="224">
        <v>1</v>
      </c>
      <c r="H41" s="191">
        <f t="shared" si="1"/>
        <v>42.5</v>
      </c>
    </row>
    <row r="42" spans="1:8" ht="25.5" x14ac:dyDescent="0.2">
      <c r="A42" s="151">
        <v>40</v>
      </c>
      <c r="B42" s="175" t="s">
        <v>464</v>
      </c>
      <c r="C42" s="174" t="s">
        <v>176</v>
      </c>
      <c r="D42" s="176">
        <v>100</v>
      </c>
      <c r="E42" s="176" t="s">
        <v>362</v>
      </c>
      <c r="F42" s="179">
        <v>1.61</v>
      </c>
      <c r="G42" s="224">
        <v>1</v>
      </c>
      <c r="H42" s="191">
        <f t="shared" si="1"/>
        <v>161</v>
      </c>
    </row>
    <row r="43" spans="1:8" ht="38.25" x14ac:dyDescent="0.2">
      <c r="A43" s="151">
        <v>41</v>
      </c>
      <c r="B43" s="175" t="s">
        <v>215</v>
      </c>
      <c r="C43" s="174" t="s">
        <v>216</v>
      </c>
      <c r="D43" s="176">
        <v>4</v>
      </c>
      <c r="E43" s="176" t="s">
        <v>363</v>
      </c>
      <c r="F43" s="179">
        <v>41.11</v>
      </c>
      <c r="G43" s="224">
        <v>1</v>
      </c>
      <c r="H43" s="191">
        <f t="shared" si="1"/>
        <v>164.44</v>
      </c>
    </row>
    <row r="44" spans="1:8" ht="38.25" x14ac:dyDescent="0.2">
      <c r="A44" s="151">
        <v>42</v>
      </c>
      <c r="B44" s="175" t="s">
        <v>217</v>
      </c>
      <c r="C44" s="174" t="s">
        <v>218</v>
      </c>
      <c r="D44" s="176">
        <v>240</v>
      </c>
      <c r="E44" s="176" t="s">
        <v>364</v>
      </c>
      <c r="F44" s="179">
        <v>36.9</v>
      </c>
      <c r="G44" s="224">
        <v>1</v>
      </c>
      <c r="H44" s="191">
        <f t="shared" si="1"/>
        <v>8856</v>
      </c>
    </row>
    <row r="45" spans="1:8" ht="51" x14ac:dyDescent="0.2">
      <c r="A45" s="151">
        <v>43</v>
      </c>
      <c r="B45" s="175" t="s">
        <v>463</v>
      </c>
      <c r="C45" s="174" t="s">
        <v>219</v>
      </c>
      <c r="D45" s="176">
        <v>1100</v>
      </c>
      <c r="E45" s="176" t="s">
        <v>364</v>
      </c>
      <c r="F45" s="179">
        <v>12.64</v>
      </c>
      <c r="G45" s="224">
        <v>1</v>
      </c>
      <c r="H45" s="191">
        <f t="shared" si="1"/>
        <v>13904</v>
      </c>
    </row>
    <row r="46" spans="1:8" ht="15" x14ac:dyDescent="0.2">
      <c r="A46" s="151">
        <v>44</v>
      </c>
      <c r="B46" s="175" t="s">
        <v>220</v>
      </c>
      <c r="C46" s="174" t="s">
        <v>176</v>
      </c>
      <c r="D46" s="176">
        <v>20</v>
      </c>
      <c r="E46" s="176"/>
      <c r="F46" s="179">
        <v>2.93</v>
      </c>
      <c r="G46" s="224">
        <v>1</v>
      </c>
      <c r="H46" s="191">
        <f t="shared" si="1"/>
        <v>58.6</v>
      </c>
    </row>
    <row r="47" spans="1:8" ht="15" x14ac:dyDescent="0.2">
      <c r="A47" s="151">
        <v>45</v>
      </c>
      <c r="B47" s="175" t="s">
        <v>435</v>
      </c>
      <c r="C47" s="174" t="s">
        <v>176</v>
      </c>
      <c r="D47" s="176">
        <v>100</v>
      </c>
      <c r="E47" s="176"/>
      <c r="F47" s="179">
        <v>3.61</v>
      </c>
      <c r="G47" s="224">
        <v>1</v>
      </c>
      <c r="H47" s="191">
        <f>D47*F47/G47</f>
        <v>361</v>
      </c>
    </row>
    <row r="48" spans="1:8" ht="15" x14ac:dyDescent="0.2">
      <c r="A48" s="151">
        <v>46</v>
      </c>
      <c r="B48" s="175" t="s">
        <v>434</v>
      </c>
      <c r="C48" s="174" t="s">
        <v>176</v>
      </c>
      <c r="D48" s="176">
        <v>200</v>
      </c>
      <c r="E48" s="176"/>
      <c r="F48" s="179">
        <v>2.37</v>
      </c>
      <c r="G48" s="224">
        <v>1</v>
      </c>
      <c r="H48" s="191">
        <f>D48*F48/G48</f>
        <v>474</v>
      </c>
    </row>
    <row r="49" spans="1:8" ht="15" x14ac:dyDescent="0.2">
      <c r="A49" s="151">
        <v>47</v>
      </c>
      <c r="B49" s="175" t="s">
        <v>221</v>
      </c>
      <c r="C49" s="174" t="s">
        <v>188</v>
      </c>
      <c r="D49" s="176">
        <v>4</v>
      </c>
      <c r="E49" s="176" t="s">
        <v>354</v>
      </c>
      <c r="F49" s="179">
        <v>18.399999999999999</v>
      </c>
      <c r="G49" s="224">
        <v>1</v>
      </c>
      <c r="H49" s="191">
        <f t="shared" ref="H49:H55" si="2">F49*D49/G49</f>
        <v>73.599999999999994</v>
      </c>
    </row>
    <row r="50" spans="1:8" ht="15" x14ac:dyDescent="0.2">
      <c r="A50" s="151">
        <v>48</v>
      </c>
      <c r="B50" s="175" t="s">
        <v>222</v>
      </c>
      <c r="C50" s="174" t="s">
        <v>176</v>
      </c>
      <c r="D50" s="176">
        <v>10</v>
      </c>
      <c r="E50" s="176" t="s">
        <v>357</v>
      </c>
      <c r="F50" s="179">
        <v>2.2999999999999998</v>
      </c>
      <c r="G50" s="224">
        <v>1</v>
      </c>
      <c r="H50" s="191">
        <f t="shared" si="2"/>
        <v>23</v>
      </c>
    </row>
    <row r="51" spans="1:8" ht="15" x14ac:dyDescent="0.2">
      <c r="A51" s="151">
        <v>49</v>
      </c>
      <c r="B51" s="175" t="s">
        <v>223</v>
      </c>
      <c r="C51" s="174" t="s">
        <v>176</v>
      </c>
      <c r="D51" s="176">
        <v>15</v>
      </c>
      <c r="E51" s="176" t="s">
        <v>357</v>
      </c>
      <c r="F51" s="179">
        <v>3.46</v>
      </c>
      <c r="G51" s="224">
        <v>1</v>
      </c>
      <c r="H51" s="191">
        <f t="shared" si="2"/>
        <v>51.9</v>
      </c>
    </row>
    <row r="52" spans="1:8" ht="15" x14ac:dyDescent="0.2">
      <c r="A52" s="151">
        <v>50</v>
      </c>
      <c r="B52" s="175" t="s">
        <v>424</v>
      </c>
      <c r="C52" s="174" t="s">
        <v>208</v>
      </c>
      <c r="D52" s="176">
        <v>20</v>
      </c>
      <c r="E52" s="176" t="s">
        <v>430</v>
      </c>
      <c r="F52" s="179">
        <v>4.87</v>
      </c>
      <c r="G52" s="224">
        <v>1</v>
      </c>
      <c r="H52" s="191">
        <f t="shared" si="2"/>
        <v>97.4</v>
      </c>
    </row>
    <row r="53" spans="1:8" ht="15" x14ac:dyDescent="0.2">
      <c r="A53" s="151">
        <v>51</v>
      </c>
      <c r="B53" s="175" t="s">
        <v>225</v>
      </c>
      <c r="C53" s="174" t="s">
        <v>176</v>
      </c>
      <c r="D53" s="176">
        <v>30</v>
      </c>
      <c r="E53" s="176" t="s">
        <v>365</v>
      </c>
      <c r="F53" s="179">
        <v>0.73</v>
      </c>
      <c r="G53" s="224">
        <v>1</v>
      </c>
      <c r="H53" s="191">
        <f t="shared" si="2"/>
        <v>21.9</v>
      </c>
    </row>
    <row r="54" spans="1:8" ht="25.5" x14ac:dyDescent="0.2">
      <c r="A54" s="151">
        <v>52</v>
      </c>
      <c r="B54" s="175" t="s">
        <v>226</v>
      </c>
      <c r="C54" s="174" t="s">
        <v>188</v>
      </c>
      <c r="D54" s="176">
        <v>15</v>
      </c>
      <c r="E54" s="176" t="s">
        <v>354</v>
      </c>
      <c r="F54" s="179">
        <v>11.42</v>
      </c>
      <c r="G54" s="224">
        <v>1</v>
      </c>
      <c r="H54" s="191">
        <f t="shared" si="2"/>
        <v>171.3</v>
      </c>
    </row>
    <row r="55" spans="1:8" ht="25.5" x14ac:dyDescent="0.2">
      <c r="A55" s="151">
        <v>53</v>
      </c>
      <c r="B55" s="175" t="s">
        <v>227</v>
      </c>
      <c r="C55" s="174" t="s">
        <v>188</v>
      </c>
      <c r="D55" s="176">
        <v>25</v>
      </c>
      <c r="E55" s="176" t="s">
        <v>354</v>
      </c>
      <c r="F55" s="179">
        <v>11.65</v>
      </c>
      <c r="G55" s="224">
        <v>1</v>
      </c>
      <c r="H55" s="191">
        <f t="shared" si="2"/>
        <v>291.25</v>
      </c>
    </row>
    <row r="56" spans="1:8" ht="25.5" x14ac:dyDescent="0.2">
      <c r="A56" s="151">
        <v>54</v>
      </c>
      <c r="B56" s="175" t="s">
        <v>442</v>
      </c>
      <c r="C56" s="174" t="s">
        <v>219</v>
      </c>
      <c r="D56" s="176">
        <v>5</v>
      </c>
      <c r="E56" s="176"/>
      <c r="F56" s="179">
        <v>17.88</v>
      </c>
      <c r="G56" s="224">
        <v>1</v>
      </c>
      <c r="H56" s="191">
        <f>D56*F56/G56</f>
        <v>89.4</v>
      </c>
    </row>
    <row r="57" spans="1:8" ht="25.5" x14ac:dyDescent="0.2">
      <c r="A57" s="151">
        <v>55</v>
      </c>
      <c r="B57" s="175" t="s">
        <v>443</v>
      </c>
      <c r="C57" s="174" t="s">
        <v>219</v>
      </c>
      <c r="D57" s="176">
        <v>5</v>
      </c>
      <c r="E57" s="176"/>
      <c r="F57" s="179">
        <v>28.34</v>
      </c>
      <c r="G57" s="224">
        <v>1</v>
      </c>
      <c r="H57" s="191">
        <f>D57*F57/G57</f>
        <v>141.69999999999999</v>
      </c>
    </row>
    <row r="58" spans="1:8" ht="25.5" x14ac:dyDescent="0.2">
      <c r="A58" s="151">
        <v>56</v>
      </c>
      <c r="B58" s="175" t="s">
        <v>228</v>
      </c>
      <c r="C58" s="174" t="s">
        <v>219</v>
      </c>
      <c r="D58" s="176">
        <v>40</v>
      </c>
      <c r="E58" s="176" t="s">
        <v>366</v>
      </c>
      <c r="F58" s="179">
        <v>15.1</v>
      </c>
      <c r="G58" s="224">
        <v>1</v>
      </c>
      <c r="H58" s="191">
        <f>F58*D58/G58</f>
        <v>604</v>
      </c>
    </row>
    <row r="59" spans="1:8" ht="38.25" x14ac:dyDescent="0.2">
      <c r="A59" s="151">
        <v>57</v>
      </c>
      <c r="B59" s="175" t="s">
        <v>229</v>
      </c>
      <c r="C59" s="174" t="s">
        <v>219</v>
      </c>
      <c r="D59" s="176">
        <v>5</v>
      </c>
      <c r="E59" s="176" t="s">
        <v>366</v>
      </c>
      <c r="F59" s="179">
        <v>9.27</v>
      </c>
      <c r="G59" s="224">
        <v>1</v>
      </c>
      <c r="H59" s="191">
        <f>F59*D59/G59</f>
        <v>46.35</v>
      </c>
    </row>
    <row r="60" spans="1:8" ht="15" x14ac:dyDescent="0.2">
      <c r="A60" s="151">
        <v>58</v>
      </c>
      <c r="B60" s="175" t="s">
        <v>230</v>
      </c>
      <c r="C60" s="174" t="s">
        <v>219</v>
      </c>
      <c r="D60" s="176">
        <v>5</v>
      </c>
      <c r="E60" s="176" t="s">
        <v>328</v>
      </c>
      <c r="F60" s="179">
        <v>9.74</v>
      </c>
      <c r="G60" s="224">
        <v>1</v>
      </c>
      <c r="H60" s="191">
        <f>F60*D60/G60</f>
        <v>48.7</v>
      </c>
    </row>
    <row r="61" spans="1:8" ht="15" x14ac:dyDescent="0.2">
      <c r="A61" s="151">
        <v>59</v>
      </c>
      <c r="B61" s="175" t="s">
        <v>231</v>
      </c>
      <c r="C61" s="174" t="s">
        <v>176</v>
      </c>
      <c r="D61" s="176">
        <v>2</v>
      </c>
      <c r="E61" s="176" t="s">
        <v>328</v>
      </c>
      <c r="F61" s="179">
        <v>10.87</v>
      </c>
      <c r="G61" s="224">
        <v>1</v>
      </c>
      <c r="H61" s="191">
        <f>F61*D61/G61</f>
        <v>21.74</v>
      </c>
    </row>
    <row r="62" spans="1:8" ht="15" x14ac:dyDescent="0.2">
      <c r="A62" s="151">
        <v>60</v>
      </c>
      <c r="B62" s="175" t="s">
        <v>232</v>
      </c>
      <c r="C62" s="174" t="s">
        <v>233</v>
      </c>
      <c r="D62" s="176">
        <v>5</v>
      </c>
      <c r="E62" s="176" t="s">
        <v>367</v>
      </c>
      <c r="F62" s="179">
        <v>7.33</v>
      </c>
      <c r="G62" s="224">
        <v>1</v>
      </c>
      <c r="H62" s="191">
        <f>F62*D62/G62</f>
        <v>36.65</v>
      </c>
    </row>
    <row r="63" spans="1:8" ht="38.25" x14ac:dyDescent="0.2">
      <c r="A63" s="151">
        <v>61</v>
      </c>
      <c r="B63" s="175" t="s">
        <v>444</v>
      </c>
      <c r="C63" s="174" t="s">
        <v>433</v>
      </c>
      <c r="D63" s="176">
        <v>200</v>
      </c>
      <c r="E63" s="176"/>
      <c r="F63" s="179">
        <v>2.4</v>
      </c>
      <c r="G63" s="224">
        <v>1</v>
      </c>
      <c r="H63" s="191">
        <f>D63*F63/G63</f>
        <v>480</v>
      </c>
    </row>
    <row r="64" spans="1:8" ht="15" x14ac:dyDescent="0.2">
      <c r="A64" s="151">
        <v>62</v>
      </c>
      <c r="B64" s="175" t="s">
        <v>485</v>
      </c>
      <c r="C64" s="174" t="s">
        <v>439</v>
      </c>
      <c r="D64" s="176">
        <v>3</v>
      </c>
      <c r="E64" s="176"/>
      <c r="F64" s="179">
        <v>13.5</v>
      </c>
      <c r="G64" s="224">
        <v>3</v>
      </c>
      <c r="H64" s="191">
        <f>D64*F64/G64</f>
        <v>13.5</v>
      </c>
    </row>
    <row r="65" spans="1:8" ht="15" x14ac:dyDescent="0.2">
      <c r="A65" s="151">
        <v>63</v>
      </c>
      <c r="B65" s="175" t="s">
        <v>234</v>
      </c>
      <c r="C65" s="174" t="s">
        <v>186</v>
      </c>
      <c r="D65" s="176">
        <v>10</v>
      </c>
      <c r="E65" s="176" t="s">
        <v>352</v>
      </c>
      <c r="F65" s="179">
        <v>13.06</v>
      </c>
      <c r="G65" s="224">
        <v>1</v>
      </c>
      <c r="H65" s="191">
        <f>F65*D65/G65</f>
        <v>130.6</v>
      </c>
    </row>
    <row r="66" spans="1:8" ht="15" x14ac:dyDescent="0.2">
      <c r="A66" s="151">
        <v>64</v>
      </c>
      <c r="B66" s="175" t="s">
        <v>436</v>
      </c>
      <c r="C66" s="174" t="s">
        <v>176</v>
      </c>
      <c r="D66" s="176">
        <v>2</v>
      </c>
      <c r="E66" s="176"/>
      <c r="F66" s="179">
        <v>11.93</v>
      </c>
      <c r="G66" s="224">
        <v>3</v>
      </c>
      <c r="H66" s="191">
        <f>D66*F66/G66</f>
        <v>7.95</v>
      </c>
    </row>
    <row r="67" spans="1:8" ht="15" x14ac:dyDescent="0.2">
      <c r="A67" s="151">
        <v>65</v>
      </c>
      <c r="B67" s="175" t="s">
        <v>235</v>
      </c>
      <c r="C67" s="174" t="s">
        <v>176</v>
      </c>
      <c r="D67" s="176">
        <v>3</v>
      </c>
      <c r="E67" s="176" t="s">
        <v>357</v>
      </c>
      <c r="F67" s="179">
        <v>7.86</v>
      </c>
      <c r="G67" s="224">
        <v>1</v>
      </c>
      <c r="H67" s="191">
        <f>F67*D67/G67</f>
        <v>23.58</v>
      </c>
    </row>
    <row r="68" spans="1:8" ht="15" x14ac:dyDescent="0.2">
      <c r="A68" s="151">
        <v>66</v>
      </c>
      <c r="B68" s="175" t="s">
        <v>236</v>
      </c>
      <c r="C68" s="174" t="s">
        <v>176</v>
      </c>
      <c r="D68" s="176">
        <v>10</v>
      </c>
      <c r="E68" s="176" t="s">
        <v>357</v>
      </c>
      <c r="F68" s="179">
        <v>3.91</v>
      </c>
      <c r="G68" s="224">
        <v>1</v>
      </c>
      <c r="H68" s="191">
        <f>F68*D68/G68</f>
        <v>39.1</v>
      </c>
    </row>
    <row r="69" spans="1:8" ht="15" x14ac:dyDescent="0.2">
      <c r="A69" s="151">
        <v>67</v>
      </c>
      <c r="B69" s="175" t="s">
        <v>237</v>
      </c>
      <c r="C69" s="174" t="s">
        <v>176</v>
      </c>
      <c r="D69" s="176">
        <v>6</v>
      </c>
      <c r="E69" s="176" t="s">
        <v>357</v>
      </c>
      <c r="F69" s="179">
        <v>7.34</v>
      </c>
      <c r="G69" s="224">
        <v>1</v>
      </c>
      <c r="H69" s="191">
        <f>F69*D69/G69</f>
        <v>44.04</v>
      </c>
    </row>
    <row r="70" spans="1:8" ht="15" x14ac:dyDescent="0.2">
      <c r="A70" s="151">
        <v>68</v>
      </c>
      <c r="B70" s="175" t="s">
        <v>238</v>
      </c>
      <c r="C70" s="174" t="s">
        <v>176</v>
      </c>
      <c r="D70" s="176">
        <v>2</v>
      </c>
      <c r="E70" s="176" t="s">
        <v>357</v>
      </c>
      <c r="F70" s="179">
        <v>8.92</v>
      </c>
      <c r="G70" s="224">
        <v>1</v>
      </c>
      <c r="H70" s="191">
        <f>F70*D70/G70</f>
        <v>17.84</v>
      </c>
    </row>
    <row r="71" spans="1:8" ht="15" x14ac:dyDescent="0.2">
      <c r="A71" s="151">
        <v>69</v>
      </c>
      <c r="B71" s="175" t="s">
        <v>239</v>
      </c>
      <c r="C71" s="174" t="s">
        <v>176</v>
      </c>
      <c r="D71" s="176">
        <v>2</v>
      </c>
      <c r="E71" s="176" t="s">
        <v>357</v>
      </c>
      <c r="F71" s="191">
        <v>11.27</v>
      </c>
      <c r="G71" s="224">
        <v>1</v>
      </c>
      <c r="H71" s="191">
        <f>F71*D71/G71</f>
        <v>22.54</v>
      </c>
    </row>
    <row r="72" spans="1:8" ht="15" x14ac:dyDescent="0.2">
      <c r="B72" s="418" t="s">
        <v>368</v>
      </c>
      <c r="C72" s="419"/>
      <c r="D72" s="419"/>
      <c r="E72" s="419"/>
      <c r="F72" s="420"/>
      <c r="G72" s="226"/>
      <c r="H72" s="178">
        <f>SUM(H2:H71)</f>
        <v>32513.759999999998</v>
      </c>
    </row>
    <row r="73" spans="1:8" x14ac:dyDescent="0.2">
      <c r="A73" s="153"/>
      <c r="B73" s="227"/>
      <c r="C73" s="228"/>
      <c r="D73" s="228"/>
      <c r="E73" s="228"/>
      <c r="F73" s="228"/>
      <c r="G73" s="228"/>
      <c r="H73" s="229"/>
    </row>
    <row r="74" spans="1:8" ht="25.5" x14ac:dyDescent="0.2">
      <c r="A74" s="230" t="s">
        <v>174</v>
      </c>
      <c r="B74" s="230" t="s">
        <v>240</v>
      </c>
      <c r="C74" s="230" t="s">
        <v>322</v>
      </c>
      <c r="D74" s="230" t="s">
        <v>323</v>
      </c>
      <c r="E74" s="230" t="s">
        <v>324</v>
      </c>
      <c r="F74" s="230" t="s">
        <v>325</v>
      </c>
      <c r="G74" s="230"/>
      <c r="H74" s="230" t="s">
        <v>326</v>
      </c>
    </row>
    <row r="75" spans="1:8" ht="15" x14ac:dyDescent="0.2">
      <c r="A75" s="152">
        <v>1</v>
      </c>
      <c r="B75" s="175" t="s">
        <v>241</v>
      </c>
      <c r="C75" s="174" t="s">
        <v>242</v>
      </c>
      <c r="D75" s="176">
        <v>20</v>
      </c>
      <c r="E75" s="176" t="s">
        <v>351</v>
      </c>
      <c r="F75" s="191">
        <v>4.7</v>
      </c>
      <c r="G75" s="231">
        <v>1</v>
      </c>
      <c r="H75" s="191">
        <f t="shared" ref="H75:H87" si="3">F75*D75/G75</f>
        <v>94</v>
      </c>
    </row>
    <row r="76" spans="1:8" ht="15" x14ac:dyDescent="0.2">
      <c r="A76" s="152">
        <v>2</v>
      </c>
      <c r="B76" s="175" t="s">
        <v>396</v>
      </c>
      <c r="C76" s="174" t="s">
        <v>242</v>
      </c>
      <c r="D76" s="176">
        <v>20</v>
      </c>
      <c r="E76" s="176" t="s">
        <v>351</v>
      </c>
      <c r="F76" s="191">
        <v>8.49</v>
      </c>
      <c r="G76" s="231">
        <v>1</v>
      </c>
      <c r="H76" s="191">
        <f t="shared" si="3"/>
        <v>169.8</v>
      </c>
    </row>
    <row r="77" spans="1:8" ht="15" x14ac:dyDescent="0.2">
      <c r="A77" s="152">
        <v>3</v>
      </c>
      <c r="B77" s="175" t="s">
        <v>243</v>
      </c>
      <c r="C77" s="174" t="s">
        <v>242</v>
      </c>
      <c r="D77" s="176">
        <v>20</v>
      </c>
      <c r="E77" s="176" t="s">
        <v>349</v>
      </c>
      <c r="F77" s="191">
        <v>12.75</v>
      </c>
      <c r="G77" s="231">
        <v>1</v>
      </c>
      <c r="H77" s="191">
        <f t="shared" si="3"/>
        <v>255</v>
      </c>
    </row>
    <row r="78" spans="1:8" ht="15" x14ac:dyDescent="0.2">
      <c r="A78" s="152">
        <v>4</v>
      </c>
      <c r="B78" s="175" t="s">
        <v>244</v>
      </c>
      <c r="C78" s="174" t="s">
        <v>242</v>
      </c>
      <c r="D78" s="176">
        <v>20</v>
      </c>
      <c r="E78" s="176" t="s">
        <v>354</v>
      </c>
      <c r="F78" s="191">
        <v>9.6199999999999992</v>
      </c>
      <c r="G78" s="231">
        <v>1</v>
      </c>
      <c r="H78" s="191">
        <f t="shared" si="3"/>
        <v>192.4</v>
      </c>
    </row>
    <row r="79" spans="1:8" ht="15" x14ac:dyDescent="0.2">
      <c r="A79" s="152">
        <v>5</v>
      </c>
      <c r="B79" s="175" t="s">
        <v>224</v>
      </c>
      <c r="C79" s="174" t="s">
        <v>208</v>
      </c>
      <c r="D79" s="176">
        <v>10</v>
      </c>
      <c r="E79" s="176" t="s">
        <v>329</v>
      </c>
      <c r="F79" s="191">
        <v>1.73</v>
      </c>
      <c r="G79" s="231">
        <v>1</v>
      </c>
      <c r="H79" s="191">
        <f t="shared" si="3"/>
        <v>17.3</v>
      </c>
    </row>
    <row r="80" spans="1:8" ht="15" x14ac:dyDescent="0.2">
      <c r="A80" s="152">
        <v>6</v>
      </c>
      <c r="B80" s="175" t="s">
        <v>245</v>
      </c>
      <c r="C80" s="174" t="s">
        <v>246</v>
      </c>
      <c r="D80" s="176">
        <v>15</v>
      </c>
      <c r="E80" s="176" t="s">
        <v>354</v>
      </c>
      <c r="F80" s="191">
        <v>17.649999999999999</v>
      </c>
      <c r="G80" s="231">
        <v>1</v>
      </c>
      <c r="H80" s="191">
        <f t="shared" si="3"/>
        <v>264.75</v>
      </c>
    </row>
    <row r="81" spans="1:9" ht="25.5" x14ac:dyDescent="0.2">
      <c r="A81" s="152">
        <v>7</v>
      </c>
      <c r="B81" s="175" t="s">
        <v>247</v>
      </c>
      <c r="C81" s="174" t="s">
        <v>246</v>
      </c>
      <c r="D81" s="176">
        <v>10</v>
      </c>
      <c r="E81" s="176" t="s">
        <v>361</v>
      </c>
      <c r="F81" s="191">
        <v>1.55</v>
      </c>
      <c r="G81" s="231">
        <v>1</v>
      </c>
      <c r="H81" s="191">
        <f t="shared" si="3"/>
        <v>15.5</v>
      </c>
    </row>
    <row r="82" spans="1:9" ht="15" x14ac:dyDescent="0.2">
      <c r="A82" s="152">
        <v>8</v>
      </c>
      <c r="B82" s="175" t="s">
        <v>441</v>
      </c>
      <c r="C82" s="174" t="s">
        <v>248</v>
      </c>
      <c r="D82" s="176">
        <v>50</v>
      </c>
      <c r="E82" s="176" t="s">
        <v>358</v>
      </c>
      <c r="F82" s="191">
        <v>2.65</v>
      </c>
      <c r="G82" s="231">
        <v>1</v>
      </c>
      <c r="H82" s="191">
        <f t="shared" si="3"/>
        <v>132.5</v>
      </c>
    </row>
    <row r="83" spans="1:9" ht="25.5" x14ac:dyDescent="0.2">
      <c r="A83" s="152">
        <v>9</v>
      </c>
      <c r="B83" s="175" t="s">
        <v>249</v>
      </c>
      <c r="C83" s="174" t="s">
        <v>246</v>
      </c>
      <c r="D83" s="176">
        <v>50</v>
      </c>
      <c r="E83" s="176" t="s">
        <v>354</v>
      </c>
      <c r="F83" s="191">
        <v>16.34</v>
      </c>
      <c r="G83" s="231">
        <v>1</v>
      </c>
      <c r="H83" s="191">
        <f t="shared" si="3"/>
        <v>817</v>
      </c>
    </row>
    <row r="84" spans="1:9" ht="25.5" x14ac:dyDescent="0.2">
      <c r="A84" s="152">
        <v>10</v>
      </c>
      <c r="B84" s="175" t="s">
        <v>250</v>
      </c>
      <c r="C84" s="174" t="s">
        <v>251</v>
      </c>
      <c r="D84" s="176">
        <v>50</v>
      </c>
      <c r="E84" s="176" t="s">
        <v>364</v>
      </c>
      <c r="F84" s="191">
        <v>14.63</v>
      </c>
      <c r="G84" s="231">
        <v>1</v>
      </c>
      <c r="H84" s="191">
        <f t="shared" si="3"/>
        <v>731.5</v>
      </c>
    </row>
    <row r="85" spans="1:9" ht="15" x14ac:dyDescent="0.2">
      <c r="A85" s="152">
        <v>11</v>
      </c>
      <c r="B85" s="175" t="s">
        <v>426</v>
      </c>
      <c r="C85" s="174" t="s">
        <v>252</v>
      </c>
      <c r="D85" s="176">
        <v>5</v>
      </c>
      <c r="E85" s="176" t="s">
        <v>369</v>
      </c>
      <c r="F85" s="191">
        <v>1.75</v>
      </c>
      <c r="G85" s="231">
        <v>1</v>
      </c>
      <c r="H85" s="191">
        <f t="shared" si="3"/>
        <v>8.75</v>
      </c>
    </row>
    <row r="86" spans="1:9" ht="15" x14ac:dyDescent="0.2">
      <c r="A86" s="152">
        <v>13</v>
      </c>
      <c r="B86" s="175" t="s">
        <v>253</v>
      </c>
      <c r="C86" s="174" t="s">
        <v>252</v>
      </c>
      <c r="D86" s="176">
        <v>10</v>
      </c>
      <c r="E86" s="176" t="s">
        <v>331</v>
      </c>
      <c r="F86" s="191">
        <v>2.4500000000000002</v>
      </c>
      <c r="G86" s="231">
        <v>1</v>
      </c>
      <c r="H86" s="191">
        <f t="shared" si="3"/>
        <v>24.5</v>
      </c>
    </row>
    <row r="87" spans="1:9" ht="25.5" x14ac:dyDescent="0.2">
      <c r="A87" s="152">
        <v>14</v>
      </c>
      <c r="B87" s="175" t="s">
        <v>254</v>
      </c>
      <c r="C87" s="174" t="s">
        <v>255</v>
      </c>
      <c r="D87" s="176">
        <v>15</v>
      </c>
      <c r="E87" s="176" t="s">
        <v>356</v>
      </c>
      <c r="F87" s="191">
        <v>14.6</v>
      </c>
      <c r="G87" s="231">
        <v>3</v>
      </c>
      <c r="H87" s="191">
        <f t="shared" si="3"/>
        <v>73</v>
      </c>
    </row>
    <row r="88" spans="1:9" ht="15" x14ac:dyDescent="0.2">
      <c r="B88" s="418" t="s">
        <v>368</v>
      </c>
      <c r="C88" s="419"/>
      <c r="D88" s="419"/>
      <c r="E88" s="419"/>
      <c r="F88" s="420"/>
      <c r="G88" s="226"/>
      <c r="H88" s="178">
        <f>SUM(H75:H87)</f>
        <v>2796</v>
      </c>
      <c r="I88" s="106"/>
    </row>
    <row r="89" spans="1:9" x14ac:dyDescent="0.2">
      <c r="H89" s="96"/>
    </row>
    <row r="90" spans="1:9" ht="15" x14ac:dyDescent="0.2">
      <c r="B90" s="418" t="s">
        <v>370</v>
      </c>
      <c r="C90" s="419"/>
      <c r="D90" s="419"/>
      <c r="E90" s="419"/>
      <c r="F90" s="420"/>
      <c r="G90" s="226"/>
      <c r="H90" s="178">
        <f>H88+H72</f>
        <v>35309.760000000002</v>
      </c>
      <c r="I90" s="106"/>
    </row>
    <row r="91" spans="1:9" x14ac:dyDescent="0.2">
      <c r="H91" s="96"/>
    </row>
    <row r="92" spans="1:9" ht="15" x14ac:dyDescent="0.2">
      <c r="B92" s="418" t="s">
        <v>371</v>
      </c>
      <c r="C92" s="419"/>
      <c r="D92" s="419"/>
      <c r="E92" s="419"/>
      <c r="F92" s="420"/>
      <c r="G92" s="226"/>
      <c r="H92" s="178">
        <f>H90/('Quadro Efetivo'!I15+'Quadro Efetivo'!L15)</f>
        <v>430.61</v>
      </c>
      <c r="I92" s="106"/>
    </row>
    <row r="95" spans="1:9" x14ac:dyDescent="0.2">
      <c r="B95" s="415"/>
      <c r="C95" s="416"/>
      <c r="D95" s="416"/>
      <c r="E95" s="416"/>
      <c r="F95" s="416"/>
      <c r="G95" s="416"/>
      <c r="H95" s="417"/>
    </row>
    <row r="96" spans="1:9" ht="25.5" x14ac:dyDescent="0.2">
      <c r="B96" s="230" t="s">
        <v>240</v>
      </c>
      <c r="C96" s="230" t="s">
        <v>322</v>
      </c>
      <c r="D96" s="230" t="s">
        <v>323</v>
      </c>
      <c r="E96" s="230" t="s">
        <v>324</v>
      </c>
      <c r="F96" s="230" t="s">
        <v>325</v>
      </c>
      <c r="G96" s="230"/>
      <c r="H96" s="230" t="s">
        <v>326</v>
      </c>
    </row>
    <row r="97" spans="2:8" ht="15" x14ac:dyDescent="0.2">
      <c r="B97" s="175" t="s">
        <v>372</v>
      </c>
      <c r="C97" s="174" t="s">
        <v>246</v>
      </c>
      <c r="D97" s="176">
        <v>2</v>
      </c>
      <c r="E97" s="176" t="s">
        <v>360</v>
      </c>
      <c r="F97" s="191">
        <v>2.81</v>
      </c>
      <c r="G97" s="231">
        <v>1</v>
      </c>
      <c r="H97" s="191">
        <f>F97*D97/G97</f>
        <v>5.62</v>
      </c>
    </row>
    <row r="98" spans="2:8" ht="15" x14ac:dyDescent="0.2">
      <c r="B98" s="406" t="s">
        <v>373</v>
      </c>
      <c r="C98" s="406"/>
      <c r="D98" s="406"/>
      <c r="E98" s="406"/>
      <c r="F98" s="406"/>
      <c r="G98" s="176"/>
      <c r="H98" s="178">
        <f>SUM(H97:H97)</f>
        <v>5.62</v>
      </c>
    </row>
    <row r="101" spans="2:8" x14ac:dyDescent="0.2">
      <c r="B101" s="175"/>
    </row>
    <row r="102" spans="2:8" x14ac:dyDescent="0.2">
      <c r="B102" s="175"/>
    </row>
    <row r="103" spans="2:8" x14ac:dyDescent="0.2">
      <c r="B103" s="175"/>
    </row>
    <row r="104" spans="2:8" x14ac:dyDescent="0.2">
      <c r="B104" s="175"/>
    </row>
  </sheetData>
  <mergeCells count="6">
    <mergeCell ref="B95:H95"/>
    <mergeCell ref="B98:F98"/>
    <mergeCell ref="B72:F72"/>
    <mergeCell ref="B88:F88"/>
    <mergeCell ref="B90:F90"/>
    <mergeCell ref="B92:F9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showGridLines="0" topLeftCell="A40" workbookViewId="0">
      <selection activeCell="A44" sqref="A44"/>
    </sheetView>
  </sheetViews>
  <sheetFormatPr defaultRowHeight="15" x14ac:dyDescent="0.25"/>
  <cols>
    <col min="1" max="1" width="25.42578125" style="108" customWidth="1"/>
    <col min="2" max="3" width="23.42578125" style="108" customWidth="1"/>
    <col min="4" max="4" width="17.85546875" style="108" customWidth="1"/>
    <col min="5" max="5" width="21" style="108" bestFit="1" customWidth="1"/>
    <col min="6" max="6" width="17.28515625" style="108" customWidth="1"/>
    <col min="7" max="7" width="20.28515625" style="108" bestFit="1" customWidth="1"/>
    <col min="8" max="8" width="17.140625" style="108" hidden="1" customWidth="1"/>
    <col min="9" max="9" width="27.7109375" style="108" hidden="1" customWidth="1"/>
    <col min="10" max="10" width="15.7109375" style="108" hidden="1" customWidth="1"/>
    <col min="11" max="12" width="9.28515625" style="108" hidden="1" customWidth="1"/>
    <col min="13" max="14" width="15.42578125" style="108" hidden="1" customWidth="1"/>
    <col min="15" max="15" width="15.28515625" style="108" hidden="1" customWidth="1"/>
    <col min="16" max="257" width="9.140625" style="108"/>
    <col min="258" max="258" width="25.42578125" style="108" customWidth="1"/>
    <col min="259" max="259" width="23.42578125" style="108" customWidth="1"/>
    <col min="260" max="260" width="17.85546875" style="108" customWidth="1"/>
    <col min="261" max="261" width="21" style="108" bestFit="1" customWidth="1"/>
    <col min="262" max="262" width="14" style="108" customWidth="1"/>
    <col min="263" max="263" width="20.28515625" style="108" bestFit="1" customWidth="1"/>
    <col min="264" max="264" width="17.140625" style="108" customWidth="1"/>
    <col min="265" max="265" width="27.7109375" style="108" customWidth="1"/>
    <col min="266" max="266" width="15.7109375" style="108" customWidth="1"/>
    <col min="267" max="268" width="9.28515625" style="108" bestFit="1" customWidth="1"/>
    <col min="269" max="270" width="15.42578125" style="108" bestFit="1" customWidth="1"/>
    <col min="271" max="271" width="15.28515625" style="108" bestFit="1" customWidth="1"/>
    <col min="272" max="513" width="9.140625" style="108"/>
    <col min="514" max="514" width="25.42578125" style="108" customWidth="1"/>
    <col min="515" max="515" width="23.42578125" style="108" customWidth="1"/>
    <col min="516" max="516" width="17.85546875" style="108" customWidth="1"/>
    <col min="517" max="517" width="21" style="108" bestFit="1" customWidth="1"/>
    <col min="518" max="518" width="14" style="108" customWidth="1"/>
    <col min="519" max="519" width="20.28515625" style="108" bestFit="1" customWidth="1"/>
    <col min="520" max="520" width="17.140625" style="108" customWidth="1"/>
    <col min="521" max="521" width="27.7109375" style="108" customWidth="1"/>
    <col min="522" max="522" width="15.7109375" style="108" customWidth="1"/>
    <col min="523" max="524" width="9.28515625" style="108" bestFit="1" customWidth="1"/>
    <col min="525" max="526" width="15.42578125" style="108" bestFit="1" customWidth="1"/>
    <col min="527" max="527" width="15.28515625" style="108" bestFit="1" customWidth="1"/>
    <col min="528" max="769" width="9.140625" style="108"/>
    <col min="770" max="770" width="25.42578125" style="108" customWidth="1"/>
    <col min="771" max="771" width="23.42578125" style="108" customWidth="1"/>
    <col min="772" max="772" width="17.85546875" style="108" customWidth="1"/>
    <col min="773" max="773" width="21" style="108" bestFit="1" customWidth="1"/>
    <col min="774" max="774" width="14" style="108" customWidth="1"/>
    <col min="775" max="775" width="20.28515625" style="108" bestFit="1" customWidth="1"/>
    <col min="776" max="776" width="17.140625" style="108" customWidth="1"/>
    <col min="777" max="777" width="27.7109375" style="108" customWidth="1"/>
    <col min="778" max="778" width="15.7109375" style="108" customWidth="1"/>
    <col min="779" max="780" width="9.28515625" style="108" bestFit="1" customWidth="1"/>
    <col min="781" max="782" width="15.42578125" style="108" bestFit="1" customWidth="1"/>
    <col min="783" max="783" width="15.28515625" style="108" bestFit="1" customWidth="1"/>
    <col min="784" max="1025" width="9.140625" style="108"/>
    <col min="1026" max="1026" width="25.42578125" style="108" customWidth="1"/>
    <col min="1027" max="1027" width="23.42578125" style="108" customWidth="1"/>
    <col min="1028" max="1028" width="17.85546875" style="108" customWidth="1"/>
    <col min="1029" max="1029" width="21" style="108" bestFit="1" customWidth="1"/>
    <col min="1030" max="1030" width="14" style="108" customWidth="1"/>
    <col min="1031" max="1031" width="20.28515625" style="108" bestFit="1" customWidth="1"/>
    <col min="1032" max="1032" width="17.140625" style="108" customWidth="1"/>
    <col min="1033" max="1033" width="27.7109375" style="108" customWidth="1"/>
    <col min="1034" max="1034" width="15.7109375" style="108" customWidth="1"/>
    <col min="1035" max="1036" width="9.28515625" style="108" bestFit="1" customWidth="1"/>
    <col min="1037" max="1038" width="15.42578125" style="108" bestFit="1" customWidth="1"/>
    <col min="1039" max="1039" width="15.28515625" style="108" bestFit="1" customWidth="1"/>
    <col min="1040" max="1281" width="9.140625" style="108"/>
    <col min="1282" max="1282" width="25.42578125" style="108" customWidth="1"/>
    <col min="1283" max="1283" width="23.42578125" style="108" customWidth="1"/>
    <col min="1284" max="1284" width="17.85546875" style="108" customWidth="1"/>
    <col min="1285" max="1285" width="21" style="108" bestFit="1" customWidth="1"/>
    <col min="1286" max="1286" width="14" style="108" customWidth="1"/>
    <col min="1287" max="1287" width="20.28515625" style="108" bestFit="1" customWidth="1"/>
    <col min="1288" max="1288" width="17.140625" style="108" customWidth="1"/>
    <col min="1289" max="1289" width="27.7109375" style="108" customWidth="1"/>
    <col min="1290" max="1290" width="15.7109375" style="108" customWidth="1"/>
    <col min="1291" max="1292" width="9.28515625" style="108" bestFit="1" customWidth="1"/>
    <col min="1293" max="1294" width="15.42578125" style="108" bestFit="1" customWidth="1"/>
    <col min="1295" max="1295" width="15.28515625" style="108" bestFit="1" customWidth="1"/>
    <col min="1296" max="1537" width="9.140625" style="108"/>
    <col min="1538" max="1538" width="25.42578125" style="108" customWidth="1"/>
    <col min="1539" max="1539" width="23.42578125" style="108" customWidth="1"/>
    <col min="1540" max="1540" width="17.85546875" style="108" customWidth="1"/>
    <col min="1541" max="1541" width="21" style="108" bestFit="1" customWidth="1"/>
    <col min="1542" max="1542" width="14" style="108" customWidth="1"/>
    <col min="1543" max="1543" width="20.28515625" style="108" bestFit="1" customWidth="1"/>
    <col min="1544" max="1544" width="17.140625" style="108" customWidth="1"/>
    <col min="1545" max="1545" width="27.7109375" style="108" customWidth="1"/>
    <col min="1546" max="1546" width="15.7109375" style="108" customWidth="1"/>
    <col min="1547" max="1548" width="9.28515625" style="108" bestFit="1" customWidth="1"/>
    <col min="1549" max="1550" width="15.42578125" style="108" bestFit="1" customWidth="1"/>
    <col min="1551" max="1551" width="15.28515625" style="108" bestFit="1" customWidth="1"/>
    <col min="1552" max="1793" width="9.140625" style="108"/>
    <col min="1794" max="1794" width="25.42578125" style="108" customWidth="1"/>
    <col min="1795" max="1795" width="23.42578125" style="108" customWidth="1"/>
    <col min="1796" max="1796" width="17.85546875" style="108" customWidth="1"/>
    <col min="1797" max="1797" width="21" style="108" bestFit="1" customWidth="1"/>
    <col min="1798" max="1798" width="14" style="108" customWidth="1"/>
    <col min="1799" max="1799" width="20.28515625" style="108" bestFit="1" customWidth="1"/>
    <col min="1800" max="1800" width="17.140625" style="108" customWidth="1"/>
    <col min="1801" max="1801" width="27.7109375" style="108" customWidth="1"/>
    <col min="1802" max="1802" width="15.7109375" style="108" customWidth="1"/>
    <col min="1803" max="1804" width="9.28515625" style="108" bestFit="1" customWidth="1"/>
    <col min="1805" max="1806" width="15.42578125" style="108" bestFit="1" customWidth="1"/>
    <col min="1807" max="1807" width="15.28515625" style="108" bestFit="1" customWidth="1"/>
    <col min="1808" max="2049" width="9.140625" style="108"/>
    <col min="2050" max="2050" width="25.42578125" style="108" customWidth="1"/>
    <col min="2051" max="2051" width="23.42578125" style="108" customWidth="1"/>
    <col min="2052" max="2052" width="17.85546875" style="108" customWidth="1"/>
    <col min="2053" max="2053" width="21" style="108" bestFit="1" customWidth="1"/>
    <col min="2054" max="2054" width="14" style="108" customWidth="1"/>
    <col min="2055" max="2055" width="20.28515625" style="108" bestFit="1" customWidth="1"/>
    <col min="2056" max="2056" width="17.140625" style="108" customWidth="1"/>
    <col min="2057" max="2057" width="27.7109375" style="108" customWidth="1"/>
    <col min="2058" max="2058" width="15.7109375" style="108" customWidth="1"/>
    <col min="2059" max="2060" width="9.28515625" style="108" bestFit="1" customWidth="1"/>
    <col min="2061" max="2062" width="15.42578125" style="108" bestFit="1" customWidth="1"/>
    <col min="2063" max="2063" width="15.28515625" style="108" bestFit="1" customWidth="1"/>
    <col min="2064" max="2305" width="9.140625" style="108"/>
    <col min="2306" max="2306" width="25.42578125" style="108" customWidth="1"/>
    <col min="2307" max="2307" width="23.42578125" style="108" customWidth="1"/>
    <col min="2308" max="2308" width="17.85546875" style="108" customWidth="1"/>
    <col min="2309" max="2309" width="21" style="108" bestFit="1" customWidth="1"/>
    <col min="2310" max="2310" width="14" style="108" customWidth="1"/>
    <col min="2311" max="2311" width="20.28515625" style="108" bestFit="1" customWidth="1"/>
    <col min="2312" max="2312" width="17.140625" style="108" customWidth="1"/>
    <col min="2313" max="2313" width="27.7109375" style="108" customWidth="1"/>
    <col min="2314" max="2314" width="15.7109375" style="108" customWidth="1"/>
    <col min="2315" max="2316" width="9.28515625" style="108" bestFit="1" customWidth="1"/>
    <col min="2317" max="2318" width="15.42578125" style="108" bestFit="1" customWidth="1"/>
    <col min="2319" max="2319" width="15.28515625" style="108" bestFit="1" customWidth="1"/>
    <col min="2320" max="2561" width="9.140625" style="108"/>
    <col min="2562" max="2562" width="25.42578125" style="108" customWidth="1"/>
    <col min="2563" max="2563" width="23.42578125" style="108" customWidth="1"/>
    <col min="2564" max="2564" width="17.85546875" style="108" customWidth="1"/>
    <col min="2565" max="2565" width="21" style="108" bestFit="1" customWidth="1"/>
    <col min="2566" max="2566" width="14" style="108" customWidth="1"/>
    <col min="2567" max="2567" width="20.28515625" style="108" bestFit="1" customWidth="1"/>
    <col min="2568" max="2568" width="17.140625" style="108" customWidth="1"/>
    <col min="2569" max="2569" width="27.7109375" style="108" customWidth="1"/>
    <col min="2570" max="2570" width="15.7109375" style="108" customWidth="1"/>
    <col min="2571" max="2572" width="9.28515625" style="108" bestFit="1" customWidth="1"/>
    <col min="2573" max="2574" width="15.42578125" style="108" bestFit="1" customWidth="1"/>
    <col min="2575" max="2575" width="15.28515625" style="108" bestFit="1" customWidth="1"/>
    <col min="2576" max="2817" width="9.140625" style="108"/>
    <col min="2818" max="2818" width="25.42578125" style="108" customWidth="1"/>
    <col min="2819" max="2819" width="23.42578125" style="108" customWidth="1"/>
    <col min="2820" max="2820" width="17.85546875" style="108" customWidth="1"/>
    <col min="2821" max="2821" width="21" style="108" bestFit="1" customWidth="1"/>
    <col min="2822" max="2822" width="14" style="108" customWidth="1"/>
    <col min="2823" max="2823" width="20.28515625" style="108" bestFit="1" customWidth="1"/>
    <col min="2824" max="2824" width="17.140625" style="108" customWidth="1"/>
    <col min="2825" max="2825" width="27.7109375" style="108" customWidth="1"/>
    <col min="2826" max="2826" width="15.7109375" style="108" customWidth="1"/>
    <col min="2827" max="2828" width="9.28515625" style="108" bestFit="1" customWidth="1"/>
    <col min="2829" max="2830" width="15.42578125" style="108" bestFit="1" customWidth="1"/>
    <col min="2831" max="2831" width="15.28515625" style="108" bestFit="1" customWidth="1"/>
    <col min="2832" max="3073" width="9.140625" style="108"/>
    <col min="3074" max="3074" width="25.42578125" style="108" customWidth="1"/>
    <col min="3075" max="3075" width="23.42578125" style="108" customWidth="1"/>
    <col min="3076" max="3076" width="17.85546875" style="108" customWidth="1"/>
    <col min="3077" max="3077" width="21" style="108" bestFit="1" customWidth="1"/>
    <col min="3078" max="3078" width="14" style="108" customWidth="1"/>
    <col min="3079" max="3079" width="20.28515625" style="108" bestFit="1" customWidth="1"/>
    <col min="3080" max="3080" width="17.140625" style="108" customWidth="1"/>
    <col min="3081" max="3081" width="27.7109375" style="108" customWidth="1"/>
    <col min="3082" max="3082" width="15.7109375" style="108" customWidth="1"/>
    <col min="3083" max="3084" width="9.28515625" style="108" bestFit="1" customWidth="1"/>
    <col min="3085" max="3086" width="15.42578125" style="108" bestFit="1" customWidth="1"/>
    <col min="3087" max="3087" width="15.28515625" style="108" bestFit="1" customWidth="1"/>
    <col min="3088" max="3329" width="9.140625" style="108"/>
    <col min="3330" max="3330" width="25.42578125" style="108" customWidth="1"/>
    <col min="3331" max="3331" width="23.42578125" style="108" customWidth="1"/>
    <col min="3332" max="3332" width="17.85546875" style="108" customWidth="1"/>
    <col min="3333" max="3333" width="21" style="108" bestFit="1" customWidth="1"/>
    <col min="3334" max="3334" width="14" style="108" customWidth="1"/>
    <col min="3335" max="3335" width="20.28515625" style="108" bestFit="1" customWidth="1"/>
    <col min="3336" max="3336" width="17.140625" style="108" customWidth="1"/>
    <col min="3337" max="3337" width="27.7109375" style="108" customWidth="1"/>
    <col min="3338" max="3338" width="15.7109375" style="108" customWidth="1"/>
    <col min="3339" max="3340" width="9.28515625" style="108" bestFit="1" customWidth="1"/>
    <col min="3341" max="3342" width="15.42578125" style="108" bestFit="1" customWidth="1"/>
    <col min="3343" max="3343" width="15.28515625" style="108" bestFit="1" customWidth="1"/>
    <col min="3344" max="3585" width="9.140625" style="108"/>
    <col min="3586" max="3586" width="25.42578125" style="108" customWidth="1"/>
    <col min="3587" max="3587" width="23.42578125" style="108" customWidth="1"/>
    <col min="3588" max="3588" width="17.85546875" style="108" customWidth="1"/>
    <col min="3589" max="3589" width="21" style="108" bestFit="1" customWidth="1"/>
    <col min="3590" max="3590" width="14" style="108" customWidth="1"/>
    <col min="3591" max="3591" width="20.28515625" style="108" bestFit="1" customWidth="1"/>
    <col min="3592" max="3592" width="17.140625" style="108" customWidth="1"/>
    <col min="3593" max="3593" width="27.7109375" style="108" customWidth="1"/>
    <col min="3594" max="3594" width="15.7109375" style="108" customWidth="1"/>
    <col min="3595" max="3596" width="9.28515625" style="108" bestFit="1" customWidth="1"/>
    <col min="3597" max="3598" width="15.42578125" style="108" bestFit="1" customWidth="1"/>
    <col min="3599" max="3599" width="15.28515625" style="108" bestFit="1" customWidth="1"/>
    <col min="3600" max="3841" width="9.140625" style="108"/>
    <col min="3842" max="3842" width="25.42578125" style="108" customWidth="1"/>
    <col min="3843" max="3843" width="23.42578125" style="108" customWidth="1"/>
    <col min="3844" max="3844" width="17.85546875" style="108" customWidth="1"/>
    <col min="3845" max="3845" width="21" style="108" bestFit="1" customWidth="1"/>
    <col min="3846" max="3846" width="14" style="108" customWidth="1"/>
    <col min="3847" max="3847" width="20.28515625" style="108" bestFit="1" customWidth="1"/>
    <col min="3848" max="3848" width="17.140625" style="108" customWidth="1"/>
    <col min="3849" max="3849" width="27.7109375" style="108" customWidth="1"/>
    <col min="3850" max="3850" width="15.7109375" style="108" customWidth="1"/>
    <col min="3851" max="3852" width="9.28515625" style="108" bestFit="1" customWidth="1"/>
    <col min="3853" max="3854" width="15.42578125" style="108" bestFit="1" customWidth="1"/>
    <col min="3855" max="3855" width="15.28515625" style="108" bestFit="1" customWidth="1"/>
    <col min="3856" max="4097" width="9.140625" style="108"/>
    <col min="4098" max="4098" width="25.42578125" style="108" customWidth="1"/>
    <col min="4099" max="4099" width="23.42578125" style="108" customWidth="1"/>
    <col min="4100" max="4100" width="17.85546875" style="108" customWidth="1"/>
    <col min="4101" max="4101" width="21" style="108" bestFit="1" customWidth="1"/>
    <col min="4102" max="4102" width="14" style="108" customWidth="1"/>
    <col min="4103" max="4103" width="20.28515625" style="108" bestFit="1" customWidth="1"/>
    <col min="4104" max="4104" width="17.140625" style="108" customWidth="1"/>
    <col min="4105" max="4105" width="27.7109375" style="108" customWidth="1"/>
    <col min="4106" max="4106" width="15.7109375" style="108" customWidth="1"/>
    <col min="4107" max="4108" width="9.28515625" style="108" bestFit="1" customWidth="1"/>
    <col min="4109" max="4110" width="15.42578125" style="108" bestFit="1" customWidth="1"/>
    <col min="4111" max="4111" width="15.28515625" style="108" bestFit="1" customWidth="1"/>
    <col min="4112" max="4353" width="9.140625" style="108"/>
    <col min="4354" max="4354" width="25.42578125" style="108" customWidth="1"/>
    <col min="4355" max="4355" width="23.42578125" style="108" customWidth="1"/>
    <col min="4356" max="4356" width="17.85546875" style="108" customWidth="1"/>
    <col min="4357" max="4357" width="21" style="108" bestFit="1" customWidth="1"/>
    <col min="4358" max="4358" width="14" style="108" customWidth="1"/>
    <col min="4359" max="4359" width="20.28515625" style="108" bestFit="1" customWidth="1"/>
    <col min="4360" max="4360" width="17.140625" style="108" customWidth="1"/>
    <col min="4361" max="4361" width="27.7109375" style="108" customWidth="1"/>
    <col min="4362" max="4362" width="15.7109375" style="108" customWidth="1"/>
    <col min="4363" max="4364" width="9.28515625" style="108" bestFit="1" customWidth="1"/>
    <col min="4365" max="4366" width="15.42578125" style="108" bestFit="1" customWidth="1"/>
    <col min="4367" max="4367" width="15.28515625" style="108" bestFit="1" customWidth="1"/>
    <col min="4368" max="4609" width="9.140625" style="108"/>
    <col min="4610" max="4610" width="25.42578125" style="108" customWidth="1"/>
    <col min="4611" max="4611" width="23.42578125" style="108" customWidth="1"/>
    <col min="4612" max="4612" width="17.85546875" style="108" customWidth="1"/>
    <col min="4613" max="4613" width="21" style="108" bestFit="1" customWidth="1"/>
    <col min="4614" max="4614" width="14" style="108" customWidth="1"/>
    <col min="4615" max="4615" width="20.28515625" style="108" bestFit="1" customWidth="1"/>
    <col min="4616" max="4616" width="17.140625" style="108" customWidth="1"/>
    <col min="4617" max="4617" width="27.7109375" style="108" customWidth="1"/>
    <col min="4618" max="4618" width="15.7109375" style="108" customWidth="1"/>
    <col min="4619" max="4620" width="9.28515625" style="108" bestFit="1" customWidth="1"/>
    <col min="4621" max="4622" width="15.42578125" style="108" bestFit="1" customWidth="1"/>
    <col min="4623" max="4623" width="15.28515625" style="108" bestFit="1" customWidth="1"/>
    <col min="4624" max="4865" width="9.140625" style="108"/>
    <col min="4866" max="4866" width="25.42578125" style="108" customWidth="1"/>
    <col min="4867" max="4867" width="23.42578125" style="108" customWidth="1"/>
    <col min="4868" max="4868" width="17.85546875" style="108" customWidth="1"/>
    <col min="4869" max="4869" width="21" style="108" bestFit="1" customWidth="1"/>
    <col min="4870" max="4870" width="14" style="108" customWidth="1"/>
    <col min="4871" max="4871" width="20.28515625" style="108" bestFit="1" customWidth="1"/>
    <col min="4872" max="4872" width="17.140625" style="108" customWidth="1"/>
    <col min="4873" max="4873" width="27.7109375" style="108" customWidth="1"/>
    <col min="4874" max="4874" width="15.7109375" style="108" customWidth="1"/>
    <col min="4875" max="4876" width="9.28515625" style="108" bestFit="1" customWidth="1"/>
    <col min="4877" max="4878" width="15.42578125" style="108" bestFit="1" customWidth="1"/>
    <col min="4879" max="4879" width="15.28515625" style="108" bestFit="1" customWidth="1"/>
    <col min="4880" max="5121" width="9.140625" style="108"/>
    <col min="5122" max="5122" width="25.42578125" style="108" customWidth="1"/>
    <col min="5123" max="5123" width="23.42578125" style="108" customWidth="1"/>
    <col min="5124" max="5124" width="17.85546875" style="108" customWidth="1"/>
    <col min="5125" max="5125" width="21" style="108" bestFit="1" customWidth="1"/>
    <col min="5126" max="5126" width="14" style="108" customWidth="1"/>
    <col min="5127" max="5127" width="20.28515625" style="108" bestFit="1" customWidth="1"/>
    <col min="5128" max="5128" width="17.140625" style="108" customWidth="1"/>
    <col min="5129" max="5129" width="27.7109375" style="108" customWidth="1"/>
    <col min="5130" max="5130" width="15.7109375" style="108" customWidth="1"/>
    <col min="5131" max="5132" width="9.28515625" style="108" bestFit="1" customWidth="1"/>
    <col min="5133" max="5134" width="15.42578125" style="108" bestFit="1" customWidth="1"/>
    <col min="5135" max="5135" width="15.28515625" style="108" bestFit="1" customWidth="1"/>
    <col min="5136" max="5377" width="9.140625" style="108"/>
    <col min="5378" max="5378" width="25.42578125" style="108" customWidth="1"/>
    <col min="5379" max="5379" width="23.42578125" style="108" customWidth="1"/>
    <col min="5380" max="5380" width="17.85546875" style="108" customWidth="1"/>
    <col min="5381" max="5381" width="21" style="108" bestFit="1" customWidth="1"/>
    <col min="5382" max="5382" width="14" style="108" customWidth="1"/>
    <col min="5383" max="5383" width="20.28515625" style="108" bestFit="1" customWidth="1"/>
    <col min="5384" max="5384" width="17.140625" style="108" customWidth="1"/>
    <col min="5385" max="5385" width="27.7109375" style="108" customWidth="1"/>
    <col min="5386" max="5386" width="15.7109375" style="108" customWidth="1"/>
    <col min="5387" max="5388" width="9.28515625" style="108" bestFit="1" customWidth="1"/>
    <col min="5389" max="5390" width="15.42578125" style="108" bestFit="1" customWidth="1"/>
    <col min="5391" max="5391" width="15.28515625" style="108" bestFit="1" customWidth="1"/>
    <col min="5392" max="5633" width="9.140625" style="108"/>
    <col min="5634" max="5634" width="25.42578125" style="108" customWidth="1"/>
    <col min="5635" max="5635" width="23.42578125" style="108" customWidth="1"/>
    <col min="5636" max="5636" width="17.85546875" style="108" customWidth="1"/>
    <col min="5637" max="5637" width="21" style="108" bestFit="1" customWidth="1"/>
    <col min="5638" max="5638" width="14" style="108" customWidth="1"/>
    <col min="5639" max="5639" width="20.28515625" style="108" bestFit="1" customWidth="1"/>
    <col min="5640" max="5640" width="17.140625" style="108" customWidth="1"/>
    <col min="5641" max="5641" width="27.7109375" style="108" customWidth="1"/>
    <col min="5642" max="5642" width="15.7109375" style="108" customWidth="1"/>
    <col min="5643" max="5644" width="9.28515625" style="108" bestFit="1" customWidth="1"/>
    <col min="5645" max="5646" width="15.42578125" style="108" bestFit="1" customWidth="1"/>
    <col min="5647" max="5647" width="15.28515625" style="108" bestFit="1" customWidth="1"/>
    <col min="5648" max="5889" width="9.140625" style="108"/>
    <col min="5890" max="5890" width="25.42578125" style="108" customWidth="1"/>
    <col min="5891" max="5891" width="23.42578125" style="108" customWidth="1"/>
    <col min="5892" max="5892" width="17.85546875" style="108" customWidth="1"/>
    <col min="5893" max="5893" width="21" style="108" bestFit="1" customWidth="1"/>
    <col min="5894" max="5894" width="14" style="108" customWidth="1"/>
    <col min="5895" max="5895" width="20.28515625" style="108" bestFit="1" customWidth="1"/>
    <col min="5896" max="5896" width="17.140625" style="108" customWidth="1"/>
    <col min="5897" max="5897" width="27.7109375" style="108" customWidth="1"/>
    <col min="5898" max="5898" width="15.7109375" style="108" customWidth="1"/>
    <col min="5899" max="5900" width="9.28515625" style="108" bestFit="1" customWidth="1"/>
    <col min="5901" max="5902" width="15.42578125" style="108" bestFit="1" customWidth="1"/>
    <col min="5903" max="5903" width="15.28515625" style="108" bestFit="1" customWidth="1"/>
    <col min="5904" max="6145" width="9.140625" style="108"/>
    <col min="6146" max="6146" width="25.42578125" style="108" customWidth="1"/>
    <col min="6147" max="6147" width="23.42578125" style="108" customWidth="1"/>
    <col min="6148" max="6148" width="17.85546875" style="108" customWidth="1"/>
    <col min="6149" max="6149" width="21" style="108" bestFit="1" customWidth="1"/>
    <col min="6150" max="6150" width="14" style="108" customWidth="1"/>
    <col min="6151" max="6151" width="20.28515625" style="108" bestFit="1" customWidth="1"/>
    <col min="6152" max="6152" width="17.140625" style="108" customWidth="1"/>
    <col min="6153" max="6153" width="27.7109375" style="108" customWidth="1"/>
    <col min="6154" max="6154" width="15.7109375" style="108" customWidth="1"/>
    <col min="6155" max="6156" width="9.28515625" style="108" bestFit="1" customWidth="1"/>
    <col min="6157" max="6158" width="15.42578125" style="108" bestFit="1" customWidth="1"/>
    <col min="6159" max="6159" width="15.28515625" style="108" bestFit="1" customWidth="1"/>
    <col min="6160" max="6401" width="9.140625" style="108"/>
    <col min="6402" max="6402" width="25.42578125" style="108" customWidth="1"/>
    <col min="6403" max="6403" width="23.42578125" style="108" customWidth="1"/>
    <col min="6404" max="6404" width="17.85546875" style="108" customWidth="1"/>
    <col min="6405" max="6405" width="21" style="108" bestFit="1" customWidth="1"/>
    <col min="6406" max="6406" width="14" style="108" customWidth="1"/>
    <col min="6407" max="6407" width="20.28515625" style="108" bestFit="1" customWidth="1"/>
    <col min="6408" max="6408" width="17.140625" style="108" customWidth="1"/>
    <col min="6409" max="6409" width="27.7109375" style="108" customWidth="1"/>
    <col min="6410" max="6410" width="15.7109375" style="108" customWidth="1"/>
    <col min="6411" max="6412" width="9.28515625" style="108" bestFit="1" customWidth="1"/>
    <col min="6413" max="6414" width="15.42578125" style="108" bestFit="1" customWidth="1"/>
    <col min="6415" max="6415" width="15.28515625" style="108" bestFit="1" customWidth="1"/>
    <col min="6416" max="6657" width="9.140625" style="108"/>
    <col min="6658" max="6658" width="25.42578125" style="108" customWidth="1"/>
    <col min="6659" max="6659" width="23.42578125" style="108" customWidth="1"/>
    <col min="6660" max="6660" width="17.85546875" style="108" customWidth="1"/>
    <col min="6661" max="6661" width="21" style="108" bestFit="1" customWidth="1"/>
    <col min="6662" max="6662" width="14" style="108" customWidth="1"/>
    <col min="6663" max="6663" width="20.28515625" style="108" bestFit="1" customWidth="1"/>
    <col min="6664" max="6664" width="17.140625" style="108" customWidth="1"/>
    <col min="6665" max="6665" width="27.7109375" style="108" customWidth="1"/>
    <col min="6666" max="6666" width="15.7109375" style="108" customWidth="1"/>
    <col min="6667" max="6668" width="9.28515625" style="108" bestFit="1" customWidth="1"/>
    <col min="6669" max="6670" width="15.42578125" style="108" bestFit="1" customWidth="1"/>
    <col min="6671" max="6671" width="15.28515625" style="108" bestFit="1" customWidth="1"/>
    <col min="6672" max="6913" width="9.140625" style="108"/>
    <col min="6914" max="6914" width="25.42578125" style="108" customWidth="1"/>
    <col min="6915" max="6915" width="23.42578125" style="108" customWidth="1"/>
    <col min="6916" max="6916" width="17.85546875" style="108" customWidth="1"/>
    <col min="6917" max="6917" width="21" style="108" bestFit="1" customWidth="1"/>
    <col min="6918" max="6918" width="14" style="108" customWidth="1"/>
    <col min="6919" max="6919" width="20.28515625" style="108" bestFit="1" customWidth="1"/>
    <col min="6920" max="6920" width="17.140625" style="108" customWidth="1"/>
    <col min="6921" max="6921" width="27.7109375" style="108" customWidth="1"/>
    <col min="6922" max="6922" width="15.7109375" style="108" customWidth="1"/>
    <col min="6923" max="6924" width="9.28515625" style="108" bestFit="1" customWidth="1"/>
    <col min="6925" max="6926" width="15.42578125" style="108" bestFit="1" customWidth="1"/>
    <col min="6927" max="6927" width="15.28515625" style="108" bestFit="1" customWidth="1"/>
    <col min="6928" max="7169" width="9.140625" style="108"/>
    <col min="7170" max="7170" width="25.42578125" style="108" customWidth="1"/>
    <col min="7171" max="7171" width="23.42578125" style="108" customWidth="1"/>
    <col min="7172" max="7172" width="17.85546875" style="108" customWidth="1"/>
    <col min="7173" max="7173" width="21" style="108" bestFit="1" customWidth="1"/>
    <col min="7174" max="7174" width="14" style="108" customWidth="1"/>
    <col min="7175" max="7175" width="20.28515625" style="108" bestFit="1" customWidth="1"/>
    <col min="7176" max="7176" width="17.140625" style="108" customWidth="1"/>
    <col min="7177" max="7177" width="27.7109375" style="108" customWidth="1"/>
    <col min="7178" max="7178" width="15.7109375" style="108" customWidth="1"/>
    <col min="7179" max="7180" width="9.28515625" style="108" bestFit="1" customWidth="1"/>
    <col min="7181" max="7182" width="15.42578125" style="108" bestFit="1" customWidth="1"/>
    <col min="7183" max="7183" width="15.28515625" style="108" bestFit="1" customWidth="1"/>
    <col min="7184" max="7425" width="9.140625" style="108"/>
    <col min="7426" max="7426" width="25.42578125" style="108" customWidth="1"/>
    <col min="7427" max="7427" width="23.42578125" style="108" customWidth="1"/>
    <col min="7428" max="7428" width="17.85546875" style="108" customWidth="1"/>
    <col min="7429" max="7429" width="21" style="108" bestFit="1" customWidth="1"/>
    <col min="7430" max="7430" width="14" style="108" customWidth="1"/>
    <col min="7431" max="7431" width="20.28515625" style="108" bestFit="1" customWidth="1"/>
    <col min="7432" max="7432" width="17.140625" style="108" customWidth="1"/>
    <col min="7433" max="7433" width="27.7109375" style="108" customWidth="1"/>
    <col min="7434" max="7434" width="15.7109375" style="108" customWidth="1"/>
    <col min="7435" max="7436" width="9.28515625" style="108" bestFit="1" customWidth="1"/>
    <col min="7437" max="7438" width="15.42578125" style="108" bestFit="1" customWidth="1"/>
    <col min="7439" max="7439" width="15.28515625" style="108" bestFit="1" customWidth="1"/>
    <col min="7440" max="7681" width="9.140625" style="108"/>
    <col min="7682" max="7682" width="25.42578125" style="108" customWidth="1"/>
    <col min="7683" max="7683" width="23.42578125" style="108" customWidth="1"/>
    <col min="7684" max="7684" width="17.85546875" style="108" customWidth="1"/>
    <col min="7685" max="7685" width="21" style="108" bestFit="1" customWidth="1"/>
    <col min="7686" max="7686" width="14" style="108" customWidth="1"/>
    <col min="7687" max="7687" width="20.28515625" style="108" bestFit="1" customWidth="1"/>
    <col min="7688" max="7688" width="17.140625" style="108" customWidth="1"/>
    <col min="7689" max="7689" width="27.7109375" style="108" customWidth="1"/>
    <col min="7690" max="7690" width="15.7109375" style="108" customWidth="1"/>
    <col min="7691" max="7692" width="9.28515625" style="108" bestFit="1" customWidth="1"/>
    <col min="7693" max="7694" width="15.42578125" style="108" bestFit="1" customWidth="1"/>
    <col min="7695" max="7695" width="15.28515625" style="108" bestFit="1" customWidth="1"/>
    <col min="7696" max="7937" width="9.140625" style="108"/>
    <col min="7938" max="7938" width="25.42578125" style="108" customWidth="1"/>
    <col min="7939" max="7939" width="23.42578125" style="108" customWidth="1"/>
    <col min="7940" max="7940" width="17.85546875" style="108" customWidth="1"/>
    <col min="7941" max="7941" width="21" style="108" bestFit="1" customWidth="1"/>
    <col min="7942" max="7942" width="14" style="108" customWidth="1"/>
    <col min="7943" max="7943" width="20.28515625" style="108" bestFit="1" customWidth="1"/>
    <col min="7944" max="7944" width="17.140625" style="108" customWidth="1"/>
    <col min="7945" max="7945" width="27.7109375" style="108" customWidth="1"/>
    <col min="7946" max="7946" width="15.7109375" style="108" customWidth="1"/>
    <col min="7947" max="7948" width="9.28515625" style="108" bestFit="1" customWidth="1"/>
    <col min="7949" max="7950" width="15.42578125" style="108" bestFit="1" customWidth="1"/>
    <col min="7951" max="7951" width="15.28515625" style="108" bestFit="1" customWidth="1"/>
    <col min="7952" max="8193" width="9.140625" style="108"/>
    <col min="8194" max="8194" width="25.42578125" style="108" customWidth="1"/>
    <col min="8195" max="8195" width="23.42578125" style="108" customWidth="1"/>
    <col min="8196" max="8196" width="17.85546875" style="108" customWidth="1"/>
    <col min="8197" max="8197" width="21" style="108" bestFit="1" customWidth="1"/>
    <col min="8198" max="8198" width="14" style="108" customWidth="1"/>
    <col min="8199" max="8199" width="20.28515625" style="108" bestFit="1" customWidth="1"/>
    <col min="8200" max="8200" width="17.140625" style="108" customWidth="1"/>
    <col min="8201" max="8201" width="27.7109375" style="108" customWidth="1"/>
    <col min="8202" max="8202" width="15.7109375" style="108" customWidth="1"/>
    <col min="8203" max="8204" width="9.28515625" style="108" bestFit="1" customWidth="1"/>
    <col min="8205" max="8206" width="15.42578125" style="108" bestFit="1" customWidth="1"/>
    <col min="8207" max="8207" width="15.28515625" style="108" bestFit="1" customWidth="1"/>
    <col min="8208" max="8449" width="9.140625" style="108"/>
    <col min="8450" max="8450" width="25.42578125" style="108" customWidth="1"/>
    <col min="8451" max="8451" width="23.42578125" style="108" customWidth="1"/>
    <col min="8452" max="8452" width="17.85546875" style="108" customWidth="1"/>
    <col min="8453" max="8453" width="21" style="108" bestFit="1" customWidth="1"/>
    <col min="8454" max="8454" width="14" style="108" customWidth="1"/>
    <col min="8455" max="8455" width="20.28515625" style="108" bestFit="1" customWidth="1"/>
    <col min="8456" max="8456" width="17.140625" style="108" customWidth="1"/>
    <col min="8457" max="8457" width="27.7109375" style="108" customWidth="1"/>
    <col min="8458" max="8458" width="15.7109375" style="108" customWidth="1"/>
    <col min="8459" max="8460" width="9.28515625" style="108" bestFit="1" customWidth="1"/>
    <col min="8461" max="8462" width="15.42578125" style="108" bestFit="1" customWidth="1"/>
    <col min="8463" max="8463" width="15.28515625" style="108" bestFit="1" customWidth="1"/>
    <col min="8464" max="8705" width="9.140625" style="108"/>
    <col min="8706" max="8706" width="25.42578125" style="108" customWidth="1"/>
    <col min="8707" max="8707" width="23.42578125" style="108" customWidth="1"/>
    <col min="8708" max="8708" width="17.85546875" style="108" customWidth="1"/>
    <col min="8709" max="8709" width="21" style="108" bestFit="1" customWidth="1"/>
    <col min="8710" max="8710" width="14" style="108" customWidth="1"/>
    <col min="8711" max="8711" width="20.28515625" style="108" bestFit="1" customWidth="1"/>
    <col min="8712" max="8712" width="17.140625" style="108" customWidth="1"/>
    <col min="8713" max="8713" width="27.7109375" style="108" customWidth="1"/>
    <col min="8714" max="8714" width="15.7109375" style="108" customWidth="1"/>
    <col min="8715" max="8716" width="9.28515625" style="108" bestFit="1" customWidth="1"/>
    <col min="8717" max="8718" width="15.42578125" style="108" bestFit="1" customWidth="1"/>
    <col min="8719" max="8719" width="15.28515625" style="108" bestFit="1" customWidth="1"/>
    <col min="8720" max="8961" width="9.140625" style="108"/>
    <col min="8962" max="8962" width="25.42578125" style="108" customWidth="1"/>
    <col min="8963" max="8963" width="23.42578125" style="108" customWidth="1"/>
    <col min="8964" max="8964" width="17.85546875" style="108" customWidth="1"/>
    <col min="8965" max="8965" width="21" style="108" bestFit="1" customWidth="1"/>
    <col min="8966" max="8966" width="14" style="108" customWidth="1"/>
    <col min="8967" max="8967" width="20.28515625" style="108" bestFit="1" customWidth="1"/>
    <col min="8968" max="8968" width="17.140625" style="108" customWidth="1"/>
    <col min="8969" max="8969" width="27.7109375" style="108" customWidth="1"/>
    <col min="8970" max="8970" width="15.7109375" style="108" customWidth="1"/>
    <col min="8971" max="8972" width="9.28515625" style="108" bestFit="1" customWidth="1"/>
    <col min="8973" max="8974" width="15.42578125" style="108" bestFit="1" customWidth="1"/>
    <col min="8975" max="8975" width="15.28515625" style="108" bestFit="1" customWidth="1"/>
    <col min="8976" max="9217" width="9.140625" style="108"/>
    <col min="9218" max="9218" width="25.42578125" style="108" customWidth="1"/>
    <col min="9219" max="9219" width="23.42578125" style="108" customWidth="1"/>
    <col min="9220" max="9220" width="17.85546875" style="108" customWidth="1"/>
    <col min="9221" max="9221" width="21" style="108" bestFit="1" customWidth="1"/>
    <col min="9222" max="9222" width="14" style="108" customWidth="1"/>
    <col min="9223" max="9223" width="20.28515625" style="108" bestFit="1" customWidth="1"/>
    <col min="9224" max="9224" width="17.140625" style="108" customWidth="1"/>
    <col min="9225" max="9225" width="27.7109375" style="108" customWidth="1"/>
    <col min="9226" max="9226" width="15.7109375" style="108" customWidth="1"/>
    <col min="9227" max="9228" width="9.28515625" style="108" bestFit="1" customWidth="1"/>
    <col min="9229" max="9230" width="15.42578125" style="108" bestFit="1" customWidth="1"/>
    <col min="9231" max="9231" width="15.28515625" style="108" bestFit="1" customWidth="1"/>
    <col min="9232" max="9473" width="9.140625" style="108"/>
    <col min="9474" max="9474" width="25.42578125" style="108" customWidth="1"/>
    <col min="9475" max="9475" width="23.42578125" style="108" customWidth="1"/>
    <col min="9476" max="9476" width="17.85546875" style="108" customWidth="1"/>
    <col min="9477" max="9477" width="21" style="108" bestFit="1" customWidth="1"/>
    <col min="9478" max="9478" width="14" style="108" customWidth="1"/>
    <col min="9479" max="9479" width="20.28515625" style="108" bestFit="1" customWidth="1"/>
    <col min="9480" max="9480" width="17.140625" style="108" customWidth="1"/>
    <col min="9481" max="9481" width="27.7109375" style="108" customWidth="1"/>
    <col min="9482" max="9482" width="15.7109375" style="108" customWidth="1"/>
    <col min="9483" max="9484" width="9.28515625" style="108" bestFit="1" customWidth="1"/>
    <col min="9485" max="9486" width="15.42578125" style="108" bestFit="1" customWidth="1"/>
    <col min="9487" max="9487" width="15.28515625" style="108" bestFit="1" customWidth="1"/>
    <col min="9488" max="9729" width="9.140625" style="108"/>
    <col min="9730" max="9730" width="25.42578125" style="108" customWidth="1"/>
    <col min="9731" max="9731" width="23.42578125" style="108" customWidth="1"/>
    <col min="9732" max="9732" width="17.85546875" style="108" customWidth="1"/>
    <col min="9733" max="9733" width="21" style="108" bestFit="1" customWidth="1"/>
    <col min="9734" max="9734" width="14" style="108" customWidth="1"/>
    <col min="9735" max="9735" width="20.28515625" style="108" bestFit="1" customWidth="1"/>
    <col min="9736" max="9736" width="17.140625" style="108" customWidth="1"/>
    <col min="9737" max="9737" width="27.7109375" style="108" customWidth="1"/>
    <col min="9738" max="9738" width="15.7109375" style="108" customWidth="1"/>
    <col min="9739" max="9740" width="9.28515625" style="108" bestFit="1" customWidth="1"/>
    <col min="9741" max="9742" width="15.42578125" style="108" bestFit="1" customWidth="1"/>
    <col min="9743" max="9743" width="15.28515625" style="108" bestFit="1" customWidth="1"/>
    <col min="9744" max="9985" width="9.140625" style="108"/>
    <col min="9986" max="9986" width="25.42578125" style="108" customWidth="1"/>
    <col min="9987" max="9987" width="23.42578125" style="108" customWidth="1"/>
    <col min="9988" max="9988" width="17.85546875" style="108" customWidth="1"/>
    <col min="9989" max="9989" width="21" style="108" bestFit="1" customWidth="1"/>
    <col min="9990" max="9990" width="14" style="108" customWidth="1"/>
    <col min="9991" max="9991" width="20.28515625" style="108" bestFit="1" customWidth="1"/>
    <col min="9992" max="9992" width="17.140625" style="108" customWidth="1"/>
    <col min="9993" max="9993" width="27.7109375" style="108" customWidth="1"/>
    <col min="9994" max="9994" width="15.7109375" style="108" customWidth="1"/>
    <col min="9995" max="9996" width="9.28515625" style="108" bestFit="1" customWidth="1"/>
    <col min="9997" max="9998" width="15.42578125" style="108" bestFit="1" customWidth="1"/>
    <col min="9999" max="9999" width="15.28515625" style="108" bestFit="1" customWidth="1"/>
    <col min="10000" max="10241" width="9.140625" style="108"/>
    <col min="10242" max="10242" width="25.42578125" style="108" customWidth="1"/>
    <col min="10243" max="10243" width="23.42578125" style="108" customWidth="1"/>
    <col min="10244" max="10244" width="17.85546875" style="108" customWidth="1"/>
    <col min="10245" max="10245" width="21" style="108" bestFit="1" customWidth="1"/>
    <col min="10246" max="10246" width="14" style="108" customWidth="1"/>
    <col min="10247" max="10247" width="20.28515625" style="108" bestFit="1" customWidth="1"/>
    <col min="10248" max="10248" width="17.140625" style="108" customWidth="1"/>
    <col min="10249" max="10249" width="27.7109375" style="108" customWidth="1"/>
    <col min="10250" max="10250" width="15.7109375" style="108" customWidth="1"/>
    <col min="10251" max="10252" width="9.28515625" style="108" bestFit="1" customWidth="1"/>
    <col min="10253" max="10254" width="15.42578125" style="108" bestFit="1" customWidth="1"/>
    <col min="10255" max="10255" width="15.28515625" style="108" bestFit="1" customWidth="1"/>
    <col min="10256" max="10497" width="9.140625" style="108"/>
    <col min="10498" max="10498" width="25.42578125" style="108" customWidth="1"/>
    <col min="10499" max="10499" width="23.42578125" style="108" customWidth="1"/>
    <col min="10500" max="10500" width="17.85546875" style="108" customWidth="1"/>
    <col min="10501" max="10501" width="21" style="108" bestFit="1" customWidth="1"/>
    <col min="10502" max="10502" width="14" style="108" customWidth="1"/>
    <col min="10503" max="10503" width="20.28515625" style="108" bestFit="1" customWidth="1"/>
    <col min="10504" max="10504" width="17.140625" style="108" customWidth="1"/>
    <col min="10505" max="10505" width="27.7109375" style="108" customWidth="1"/>
    <col min="10506" max="10506" width="15.7109375" style="108" customWidth="1"/>
    <col min="10507" max="10508" width="9.28515625" style="108" bestFit="1" customWidth="1"/>
    <col min="10509" max="10510" width="15.42578125" style="108" bestFit="1" customWidth="1"/>
    <col min="10511" max="10511" width="15.28515625" style="108" bestFit="1" customWidth="1"/>
    <col min="10512" max="10753" width="9.140625" style="108"/>
    <col min="10754" max="10754" width="25.42578125" style="108" customWidth="1"/>
    <col min="10755" max="10755" width="23.42578125" style="108" customWidth="1"/>
    <col min="10756" max="10756" width="17.85546875" style="108" customWidth="1"/>
    <col min="10757" max="10757" width="21" style="108" bestFit="1" customWidth="1"/>
    <col min="10758" max="10758" width="14" style="108" customWidth="1"/>
    <col min="10759" max="10759" width="20.28515625" style="108" bestFit="1" customWidth="1"/>
    <col min="10760" max="10760" width="17.140625" style="108" customWidth="1"/>
    <col min="10761" max="10761" width="27.7109375" style="108" customWidth="1"/>
    <col min="10762" max="10762" width="15.7109375" style="108" customWidth="1"/>
    <col min="10763" max="10764" width="9.28515625" style="108" bestFit="1" customWidth="1"/>
    <col min="10765" max="10766" width="15.42578125" style="108" bestFit="1" customWidth="1"/>
    <col min="10767" max="10767" width="15.28515625" style="108" bestFit="1" customWidth="1"/>
    <col min="10768" max="11009" width="9.140625" style="108"/>
    <col min="11010" max="11010" width="25.42578125" style="108" customWidth="1"/>
    <col min="11011" max="11011" width="23.42578125" style="108" customWidth="1"/>
    <col min="11012" max="11012" width="17.85546875" style="108" customWidth="1"/>
    <col min="11013" max="11013" width="21" style="108" bestFit="1" customWidth="1"/>
    <col min="11014" max="11014" width="14" style="108" customWidth="1"/>
    <col min="11015" max="11015" width="20.28515625" style="108" bestFit="1" customWidth="1"/>
    <col min="11016" max="11016" width="17.140625" style="108" customWidth="1"/>
    <col min="11017" max="11017" width="27.7109375" style="108" customWidth="1"/>
    <col min="11018" max="11018" width="15.7109375" style="108" customWidth="1"/>
    <col min="11019" max="11020" width="9.28515625" style="108" bestFit="1" customWidth="1"/>
    <col min="11021" max="11022" width="15.42578125" style="108" bestFit="1" customWidth="1"/>
    <col min="11023" max="11023" width="15.28515625" style="108" bestFit="1" customWidth="1"/>
    <col min="11024" max="11265" width="9.140625" style="108"/>
    <col min="11266" max="11266" width="25.42578125" style="108" customWidth="1"/>
    <col min="11267" max="11267" width="23.42578125" style="108" customWidth="1"/>
    <col min="11268" max="11268" width="17.85546875" style="108" customWidth="1"/>
    <col min="11269" max="11269" width="21" style="108" bestFit="1" customWidth="1"/>
    <col min="11270" max="11270" width="14" style="108" customWidth="1"/>
    <col min="11271" max="11271" width="20.28515625" style="108" bestFit="1" customWidth="1"/>
    <col min="11272" max="11272" width="17.140625" style="108" customWidth="1"/>
    <col min="11273" max="11273" width="27.7109375" style="108" customWidth="1"/>
    <col min="11274" max="11274" width="15.7109375" style="108" customWidth="1"/>
    <col min="11275" max="11276" width="9.28515625" style="108" bestFit="1" customWidth="1"/>
    <col min="11277" max="11278" width="15.42578125" style="108" bestFit="1" customWidth="1"/>
    <col min="11279" max="11279" width="15.28515625" style="108" bestFit="1" customWidth="1"/>
    <col min="11280" max="11521" width="9.140625" style="108"/>
    <col min="11522" max="11522" width="25.42578125" style="108" customWidth="1"/>
    <col min="11523" max="11523" width="23.42578125" style="108" customWidth="1"/>
    <col min="11524" max="11524" width="17.85546875" style="108" customWidth="1"/>
    <col min="11525" max="11525" width="21" style="108" bestFit="1" customWidth="1"/>
    <col min="11526" max="11526" width="14" style="108" customWidth="1"/>
    <col min="11527" max="11527" width="20.28515625" style="108" bestFit="1" customWidth="1"/>
    <col min="11528" max="11528" width="17.140625" style="108" customWidth="1"/>
    <col min="11529" max="11529" width="27.7109375" style="108" customWidth="1"/>
    <col min="11530" max="11530" width="15.7109375" style="108" customWidth="1"/>
    <col min="11531" max="11532" width="9.28515625" style="108" bestFit="1" customWidth="1"/>
    <col min="11533" max="11534" width="15.42578125" style="108" bestFit="1" customWidth="1"/>
    <col min="11535" max="11535" width="15.28515625" style="108" bestFit="1" customWidth="1"/>
    <col min="11536" max="11777" width="9.140625" style="108"/>
    <col min="11778" max="11778" width="25.42578125" style="108" customWidth="1"/>
    <col min="11779" max="11779" width="23.42578125" style="108" customWidth="1"/>
    <col min="11780" max="11780" width="17.85546875" style="108" customWidth="1"/>
    <col min="11781" max="11781" width="21" style="108" bestFit="1" customWidth="1"/>
    <col min="11782" max="11782" width="14" style="108" customWidth="1"/>
    <col min="11783" max="11783" width="20.28515625" style="108" bestFit="1" customWidth="1"/>
    <col min="11784" max="11784" width="17.140625" style="108" customWidth="1"/>
    <col min="11785" max="11785" width="27.7109375" style="108" customWidth="1"/>
    <col min="11786" max="11786" width="15.7109375" style="108" customWidth="1"/>
    <col min="11787" max="11788" width="9.28515625" style="108" bestFit="1" customWidth="1"/>
    <col min="11789" max="11790" width="15.42578125" style="108" bestFit="1" customWidth="1"/>
    <col min="11791" max="11791" width="15.28515625" style="108" bestFit="1" customWidth="1"/>
    <col min="11792" max="12033" width="9.140625" style="108"/>
    <col min="12034" max="12034" width="25.42578125" style="108" customWidth="1"/>
    <col min="12035" max="12035" width="23.42578125" style="108" customWidth="1"/>
    <col min="12036" max="12036" width="17.85546875" style="108" customWidth="1"/>
    <col min="12037" max="12037" width="21" style="108" bestFit="1" customWidth="1"/>
    <col min="12038" max="12038" width="14" style="108" customWidth="1"/>
    <col min="12039" max="12039" width="20.28515625" style="108" bestFit="1" customWidth="1"/>
    <col min="12040" max="12040" width="17.140625" style="108" customWidth="1"/>
    <col min="12041" max="12041" width="27.7109375" style="108" customWidth="1"/>
    <col min="12042" max="12042" width="15.7109375" style="108" customWidth="1"/>
    <col min="12043" max="12044" width="9.28515625" style="108" bestFit="1" customWidth="1"/>
    <col min="12045" max="12046" width="15.42578125" style="108" bestFit="1" customWidth="1"/>
    <col min="12047" max="12047" width="15.28515625" style="108" bestFit="1" customWidth="1"/>
    <col min="12048" max="12289" width="9.140625" style="108"/>
    <col min="12290" max="12290" width="25.42578125" style="108" customWidth="1"/>
    <col min="12291" max="12291" width="23.42578125" style="108" customWidth="1"/>
    <col min="12292" max="12292" width="17.85546875" style="108" customWidth="1"/>
    <col min="12293" max="12293" width="21" style="108" bestFit="1" customWidth="1"/>
    <col min="12294" max="12294" width="14" style="108" customWidth="1"/>
    <col min="12295" max="12295" width="20.28515625" style="108" bestFit="1" customWidth="1"/>
    <col min="12296" max="12296" width="17.140625" style="108" customWidth="1"/>
    <col min="12297" max="12297" width="27.7109375" style="108" customWidth="1"/>
    <col min="12298" max="12298" width="15.7109375" style="108" customWidth="1"/>
    <col min="12299" max="12300" width="9.28515625" style="108" bestFit="1" customWidth="1"/>
    <col min="12301" max="12302" width="15.42578125" style="108" bestFit="1" customWidth="1"/>
    <col min="12303" max="12303" width="15.28515625" style="108" bestFit="1" customWidth="1"/>
    <col min="12304" max="12545" width="9.140625" style="108"/>
    <col min="12546" max="12546" width="25.42578125" style="108" customWidth="1"/>
    <col min="12547" max="12547" width="23.42578125" style="108" customWidth="1"/>
    <col min="12548" max="12548" width="17.85546875" style="108" customWidth="1"/>
    <col min="12549" max="12549" width="21" style="108" bestFit="1" customWidth="1"/>
    <col min="12550" max="12550" width="14" style="108" customWidth="1"/>
    <col min="12551" max="12551" width="20.28515625" style="108" bestFit="1" customWidth="1"/>
    <col min="12552" max="12552" width="17.140625" style="108" customWidth="1"/>
    <col min="12553" max="12553" width="27.7109375" style="108" customWidth="1"/>
    <col min="12554" max="12554" width="15.7109375" style="108" customWidth="1"/>
    <col min="12555" max="12556" width="9.28515625" style="108" bestFit="1" customWidth="1"/>
    <col min="12557" max="12558" width="15.42578125" style="108" bestFit="1" customWidth="1"/>
    <col min="12559" max="12559" width="15.28515625" style="108" bestFit="1" customWidth="1"/>
    <col min="12560" max="12801" width="9.140625" style="108"/>
    <col min="12802" max="12802" width="25.42578125" style="108" customWidth="1"/>
    <col min="12803" max="12803" width="23.42578125" style="108" customWidth="1"/>
    <col min="12804" max="12804" width="17.85546875" style="108" customWidth="1"/>
    <col min="12805" max="12805" width="21" style="108" bestFit="1" customWidth="1"/>
    <col min="12806" max="12806" width="14" style="108" customWidth="1"/>
    <col min="12807" max="12807" width="20.28515625" style="108" bestFit="1" customWidth="1"/>
    <col min="12808" max="12808" width="17.140625" style="108" customWidth="1"/>
    <col min="12809" max="12809" width="27.7109375" style="108" customWidth="1"/>
    <col min="12810" max="12810" width="15.7109375" style="108" customWidth="1"/>
    <col min="12811" max="12812" width="9.28515625" style="108" bestFit="1" customWidth="1"/>
    <col min="12813" max="12814" width="15.42578125" style="108" bestFit="1" customWidth="1"/>
    <col min="12815" max="12815" width="15.28515625" style="108" bestFit="1" customWidth="1"/>
    <col min="12816" max="13057" width="9.140625" style="108"/>
    <col min="13058" max="13058" width="25.42578125" style="108" customWidth="1"/>
    <col min="13059" max="13059" width="23.42578125" style="108" customWidth="1"/>
    <col min="13060" max="13060" width="17.85546875" style="108" customWidth="1"/>
    <col min="13061" max="13061" width="21" style="108" bestFit="1" customWidth="1"/>
    <col min="13062" max="13062" width="14" style="108" customWidth="1"/>
    <col min="13063" max="13063" width="20.28515625" style="108" bestFit="1" customWidth="1"/>
    <col min="13064" max="13064" width="17.140625" style="108" customWidth="1"/>
    <col min="13065" max="13065" width="27.7109375" style="108" customWidth="1"/>
    <col min="13066" max="13066" width="15.7109375" style="108" customWidth="1"/>
    <col min="13067" max="13068" width="9.28515625" style="108" bestFit="1" customWidth="1"/>
    <col min="13069" max="13070" width="15.42578125" style="108" bestFit="1" customWidth="1"/>
    <col min="13071" max="13071" width="15.28515625" style="108" bestFit="1" customWidth="1"/>
    <col min="13072" max="13313" width="9.140625" style="108"/>
    <col min="13314" max="13314" width="25.42578125" style="108" customWidth="1"/>
    <col min="13315" max="13315" width="23.42578125" style="108" customWidth="1"/>
    <col min="13316" max="13316" width="17.85546875" style="108" customWidth="1"/>
    <col min="13317" max="13317" width="21" style="108" bestFit="1" customWidth="1"/>
    <col min="13318" max="13318" width="14" style="108" customWidth="1"/>
    <col min="13319" max="13319" width="20.28515625" style="108" bestFit="1" customWidth="1"/>
    <col min="13320" max="13320" width="17.140625" style="108" customWidth="1"/>
    <col min="13321" max="13321" width="27.7109375" style="108" customWidth="1"/>
    <col min="13322" max="13322" width="15.7109375" style="108" customWidth="1"/>
    <col min="13323" max="13324" width="9.28515625" style="108" bestFit="1" customWidth="1"/>
    <col min="13325" max="13326" width="15.42578125" style="108" bestFit="1" customWidth="1"/>
    <col min="13327" max="13327" width="15.28515625" style="108" bestFit="1" customWidth="1"/>
    <col min="13328" max="13569" width="9.140625" style="108"/>
    <col min="13570" max="13570" width="25.42578125" style="108" customWidth="1"/>
    <col min="13571" max="13571" width="23.42578125" style="108" customWidth="1"/>
    <col min="13572" max="13572" width="17.85546875" style="108" customWidth="1"/>
    <col min="13573" max="13573" width="21" style="108" bestFit="1" customWidth="1"/>
    <col min="13574" max="13574" width="14" style="108" customWidth="1"/>
    <col min="13575" max="13575" width="20.28515625" style="108" bestFit="1" customWidth="1"/>
    <col min="13576" max="13576" width="17.140625" style="108" customWidth="1"/>
    <col min="13577" max="13577" width="27.7109375" style="108" customWidth="1"/>
    <col min="13578" max="13578" width="15.7109375" style="108" customWidth="1"/>
    <col min="13579" max="13580" width="9.28515625" style="108" bestFit="1" customWidth="1"/>
    <col min="13581" max="13582" width="15.42578125" style="108" bestFit="1" customWidth="1"/>
    <col min="13583" max="13583" width="15.28515625" style="108" bestFit="1" customWidth="1"/>
    <col min="13584" max="13825" width="9.140625" style="108"/>
    <col min="13826" max="13826" width="25.42578125" style="108" customWidth="1"/>
    <col min="13827" max="13827" width="23.42578125" style="108" customWidth="1"/>
    <col min="13828" max="13828" width="17.85546875" style="108" customWidth="1"/>
    <col min="13829" max="13829" width="21" style="108" bestFit="1" customWidth="1"/>
    <col min="13830" max="13830" width="14" style="108" customWidth="1"/>
    <col min="13831" max="13831" width="20.28515625" style="108" bestFit="1" customWidth="1"/>
    <col min="13832" max="13832" width="17.140625" style="108" customWidth="1"/>
    <col min="13833" max="13833" width="27.7109375" style="108" customWidth="1"/>
    <col min="13834" max="13834" width="15.7109375" style="108" customWidth="1"/>
    <col min="13835" max="13836" width="9.28515625" style="108" bestFit="1" customWidth="1"/>
    <col min="13837" max="13838" width="15.42578125" style="108" bestFit="1" customWidth="1"/>
    <col min="13839" max="13839" width="15.28515625" style="108" bestFit="1" customWidth="1"/>
    <col min="13840" max="14081" width="9.140625" style="108"/>
    <col min="14082" max="14082" width="25.42578125" style="108" customWidth="1"/>
    <col min="14083" max="14083" width="23.42578125" style="108" customWidth="1"/>
    <col min="14084" max="14084" width="17.85546875" style="108" customWidth="1"/>
    <col min="14085" max="14085" width="21" style="108" bestFit="1" customWidth="1"/>
    <col min="14086" max="14086" width="14" style="108" customWidth="1"/>
    <col min="14087" max="14087" width="20.28515625" style="108" bestFit="1" customWidth="1"/>
    <col min="14088" max="14088" width="17.140625" style="108" customWidth="1"/>
    <col min="14089" max="14089" width="27.7109375" style="108" customWidth="1"/>
    <col min="14090" max="14090" width="15.7109375" style="108" customWidth="1"/>
    <col min="14091" max="14092" width="9.28515625" style="108" bestFit="1" customWidth="1"/>
    <col min="14093" max="14094" width="15.42578125" style="108" bestFit="1" customWidth="1"/>
    <col min="14095" max="14095" width="15.28515625" style="108" bestFit="1" customWidth="1"/>
    <col min="14096" max="14337" width="9.140625" style="108"/>
    <col min="14338" max="14338" width="25.42578125" style="108" customWidth="1"/>
    <col min="14339" max="14339" width="23.42578125" style="108" customWidth="1"/>
    <col min="14340" max="14340" width="17.85546875" style="108" customWidth="1"/>
    <col min="14341" max="14341" width="21" style="108" bestFit="1" customWidth="1"/>
    <col min="14342" max="14342" width="14" style="108" customWidth="1"/>
    <col min="14343" max="14343" width="20.28515625" style="108" bestFit="1" customWidth="1"/>
    <col min="14344" max="14344" width="17.140625" style="108" customWidth="1"/>
    <col min="14345" max="14345" width="27.7109375" style="108" customWidth="1"/>
    <col min="14346" max="14346" width="15.7109375" style="108" customWidth="1"/>
    <col min="14347" max="14348" width="9.28515625" style="108" bestFit="1" customWidth="1"/>
    <col min="14349" max="14350" width="15.42578125" style="108" bestFit="1" customWidth="1"/>
    <col min="14351" max="14351" width="15.28515625" style="108" bestFit="1" customWidth="1"/>
    <col min="14352" max="14593" width="9.140625" style="108"/>
    <col min="14594" max="14594" width="25.42578125" style="108" customWidth="1"/>
    <col min="14595" max="14595" width="23.42578125" style="108" customWidth="1"/>
    <col min="14596" max="14596" width="17.85546875" style="108" customWidth="1"/>
    <col min="14597" max="14597" width="21" style="108" bestFit="1" customWidth="1"/>
    <col min="14598" max="14598" width="14" style="108" customWidth="1"/>
    <col min="14599" max="14599" width="20.28515625" style="108" bestFit="1" customWidth="1"/>
    <col min="14600" max="14600" width="17.140625" style="108" customWidth="1"/>
    <col min="14601" max="14601" width="27.7109375" style="108" customWidth="1"/>
    <col min="14602" max="14602" width="15.7109375" style="108" customWidth="1"/>
    <col min="14603" max="14604" width="9.28515625" style="108" bestFit="1" customWidth="1"/>
    <col min="14605" max="14606" width="15.42578125" style="108" bestFit="1" customWidth="1"/>
    <col min="14607" max="14607" width="15.28515625" style="108" bestFit="1" customWidth="1"/>
    <col min="14608" max="14849" width="9.140625" style="108"/>
    <col min="14850" max="14850" width="25.42578125" style="108" customWidth="1"/>
    <col min="14851" max="14851" width="23.42578125" style="108" customWidth="1"/>
    <col min="14852" max="14852" width="17.85546875" style="108" customWidth="1"/>
    <col min="14853" max="14853" width="21" style="108" bestFit="1" customWidth="1"/>
    <col min="14854" max="14854" width="14" style="108" customWidth="1"/>
    <col min="14855" max="14855" width="20.28515625" style="108" bestFit="1" customWidth="1"/>
    <col min="14856" max="14856" width="17.140625" style="108" customWidth="1"/>
    <col min="14857" max="14857" width="27.7109375" style="108" customWidth="1"/>
    <col min="14858" max="14858" width="15.7109375" style="108" customWidth="1"/>
    <col min="14859" max="14860" width="9.28515625" style="108" bestFit="1" customWidth="1"/>
    <col min="14861" max="14862" width="15.42578125" style="108" bestFit="1" customWidth="1"/>
    <col min="14863" max="14863" width="15.28515625" style="108" bestFit="1" customWidth="1"/>
    <col min="14864" max="15105" width="9.140625" style="108"/>
    <col min="15106" max="15106" width="25.42578125" style="108" customWidth="1"/>
    <col min="15107" max="15107" width="23.42578125" style="108" customWidth="1"/>
    <col min="15108" max="15108" width="17.85546875" style="108" customWidth="1"/>
    <col min="15109" max="15109" width="21" style="108" bestFit="1" customWidth="1"/>
    <col min="15110" max="15110" width="14" style="108" customWidth="1"/>
    <col min="15111" max="15111" width="20.28515625" style="108" bestFit="1" customWidth="1"/>
    <col min="15112" max="15112" width="17.140625" style="108" customWidth="1"/>
    <col min="15113" max="15113" width="27.7109375" style="108" customWidth="1"/>
    <col min="15114" max="15114" width="15.7109375" style="108" customWidth="1"/>
    <col min="15115" max="15116" width="9.28515625" style="108" bestFit="1" customWidth="1"/>
    <col min="15117" max="15118" width="15.42578125" style="108" bestFit="1" customWidth="1"/>
    <col min="15119" max="15119" width="15.28515625" style="108" bestFit="1" customWidth="1"/>
    <col min="15120" max="15361" width="9.140625" style="108"/>
    <col min="15362" max="15362" width="25.42578125" style="108" customWidth="1"/>
    <col min="15363" max="15363" width="23.42578125" style="108" customWidth="1"/>
    <col min="15364" max="15364" width="17.85546875" style="108" customWidth="1"/>
    <col min="15365" max="15365" width="21" style="108" bestFit="1" customWidth="1"/>
    <col min="15366" max="15366" width="14" style="108" customWidth="1"/>
    <col min="15367" max="15367" width="20.28515625" style="108" bestFit="1" customWidth="1"/>
    <col min="15368" max="15368" width="17.140625" style="108" customWidth="1"/>
    <col min="15369" max="15369" width="27.7109375" style="108" customWidth="1"/>
    <col min="15370" max="15370" width="15.7109375" style="108" customWidth="1"/>
    <col min="15371" max="15372" width="9.28515625" style="108" bestFit="1" customWidth="1"/>
    <col min="15373" max="15374" width="15.42578125" style="108" bestFit="1" customWidth="1"/>
    <col min="15375" max="15375" width="15.28515625" style="108" bestFit="1" customWidth="1"/>
    <col min="15376" max="15617" width="9.140625" style="108"/>
    <col min="15618" max="15618" width="25.42578125" style="108" customWidth="1"/>
    <col min="15619" max="15619" width="23.42578125" style="108" customWidth="1"/>
    <col min="15620" max="15620" width="17.85546875" style="108" customWidth="1"/>
    <col min="15621" max="15621" width="21" style="108" bestFit="1" customWidth="1"/>
    <col min="15622" max="15622" width="14" style="108" customWidth="1"/>
    <col min="15623" max="15623" width="20.28515625" style="108" bestFit="1" customWidth="1"/>
    <col min="15624" max="15624" width="17.140625" style="108" customWidth="1"/>
    <col min="15625" max="15625" width="27.7109375" style="108" customWidth="1"/>
    <col min="15626" max="15626" width="15.7109375" style="108" customWidth="1"/>
    <col min="15627" max="15628" width="9.28515625" style="108" bestFit="1" customWidth="1"/>
    <col min="15629" max="15630" width="15.42578125" style="108" bestFit="1" customWidth="1"/>
    <col min="15631" max="15631" width="15.28515625" style="108" bestFit="1" customWidth="1"/>
    <col min="15632" max="15873" width="9.140625" style="108"/>
    <col min="15874" max="15874" width="25.42578125" style="108" customWidth="1"/>
    <col min="15875" max="15875" width="23.42578125" style="108" customWidth="1"/>
    <col min="15876" max="15876" width="17.85546875" style="108" customWidth="1"/>
    <col min="15877" max="15877" width="21" style="108" bestFit="1" customWidth="1"/>
    <col min="15878" max="15878" width="14" style="108" customWidth="1"/>
    <col min="15879" max="15879" width="20.28515625" style="108" bestFit="1" customWidth="1"/>
    <col min="15880" max="15880" width="17.140625" style="108" customWidth="1"/>
    <col min="15881" max="15881" width="27.7109375" style="108" customWidth="1"/>
    <col min="15882" max="15882" width="15.7109375" style="108" customWidth="1"/>
    <col min="15883" max="15884" width="9.28515625" style="108" bestFit="1" customWidth="1"/>
    <col min="15885" max="15886" width="15.42578125" style="108" bestFit="1" customWidth="1"/>
    <col min="15887" max="15887" width="15.28515625" style="108" bestFit="1" customWidth="1"/>
    <col min="15888" max="16129" width="9.140625" style="108"/>
    <col min="16130" max="16130" width="25.42578125" style="108" customWidth="1"/>
    <col min="16131" max="16131" width="23.42578125" style="108" customWidth="1"/>
    <col min="16132" max="16132" width="17.85546875" style="108" customWidth="1"/>
    <col min="16133" max="16133" width="21" style="108" bestFit="1" customWidth="1"/>
    <col min="16134" max="16134" width="14" style="108" customWidth="1"/>
    <col min="16135" max="16135" width="20.28515625" style="108" bestFit="1" customWidth="1"/>
    <col min="16136" max="16136" width="17.140625" style="108" customWidth="1"/>
    <col min="16137" max="16137" width="27.7109375" style="108" customWidth="1"/>
    <col min="16138" max="16138" width="15.7109375" style="108" customWidth="1"/>
    <col min="16139" max="16140" width="9.28515625" style="108" bestFit="1" customWidth="1"/>
    <col min="16141" max="16142" width="15.42578125" style="108" bestFit="1" customWidth="1"/>
    <col min="16143" max="16143" width="15.28515625" style="108" bestFit="1" customWidth="1"/>
    <col min="16144" max="16384" width="9.140625" style="108"/>
  </cols>
  <sheetData>
    <row r="1" spans="1:9" ht="21" x14ac:dyDescent="0.35">
      <c r="A1" s="312"/>
      <c r="B1" s="312"/>
      <c r="C1" s="312"/>
      <c r="D1" s="312"/>
      <c r="E1" s="312"/>
      <c r="F1" s="312"/>
      <c r="G1" s="312"/>
      <c r="H1" s="312"/>
      <c r="I1" s="233"/>
    </row>
    <row r="2" spans="1:9" x14ac:dyDescent="0.25">
      <c r="A2" s="113"/>
      <c r="B2" s="113"/>
      <c r="C2" s="113"/>
      <c r="D2" s="113"/>
      <c r="E2" s="113"/>
    </row>
    <row r="3" spans="1:9" ht="15.75" thickBot="1" x14ac:dyDescent="0.3">
      <c r="A3" s="306" t="s">
        <v>297</v>
      </c>
      <c r="B3" s="306"/>
      <c r="C3" s="306"/>
      <c r="D3" s="306"/>
      <c r="E3" s="306"/>
      <c r="F3" s="127"/>
      <c r="G3" s="127"/>
      <c r="H3" s="127"/>
    </row>
    <row r="4" spans="1:9" ht="15.75" x14ac:dyDescent="0.25">
      <c r="A4" s="313" t="s">
        <v>298</v>
      </c>
      <c r="B4" s="314"/>
      <c r="C4" s="314"/>
      <c r="D4" s="314"/>
      <c r="E4" s="315"/>
      <c r="F4" s="128"/>
      <c r="G4" s="128"/>
      <c r="H4" s="128"/>
    </row>
    <row r="5" spans="1:9" ht="30" x14ac:dyDescent="0.25">
      <c r="A5" s="234" t="s">
        <v>299</v>
      </c>
      <c r="B5" s="235" t="s">
        <v>321</v>
      </c>
      <c r="C5" s="235" t="s">
        <v>321</v>
      </c>
      <c r="D5" s="236" t="s">
        <v>301</v>
      </c>
      <c r="E5" s="237" t="s">
        <v>302</v>
      </c>
      <c r="F5" s="129"/>
      <c r="G5" s="130"/>
      <c r="H5" s="131"/>
    </row>
    <row r="6" spans="1:9" ht="15.75" x14ac:dyDescent="0.25">
      <c r="A6" s="238" t="s">
        <v>277</v>
      </c>
      <c r="B6" s="239" t="s">
        <v>388</v>
      </c>
      <c r="C6" s="132">
        <f>1/(30*885)</f>
        <v>3.7664999999999999E-5</v>
      </c>
      <c r="D6" s="188">
        <f>'1 - Encarregado'!D137</f>
        <v>7157.32</v>
      </c>
      <c r="E6" s="240">
        <f>ROUND(D6*C6,2)</f>
        <v>0.27</v>
      </c>
      <c r="F6" s="129"/>
      <c r="G6" s="133"/>
      <c r="H6" s="131"/>
      <c r="I6" s="241"/>
    </row>
    <row r="7" spans="1:9" ht="16.5" thickBot="1" x14ac:dyDescent="0.3">
      <c r="A7" s="242" t="s">
        <v>281</v>
      </c>
      <c r="B7" s="149" t="s">
        <v>389</v>
      </c>
      <c r="C7" s="150">
        <f>1/885</f>
        <v>1.1299435028248601E-3</v>
      </c>
      <c r="D7" s="243">
        <f>'2 - Servente'!D137</f>
        <v>4869.3599999999997</v>
      </c>
      <c r="E7" s="244">
        <f>ROUND(D7*C7,2)</f>
        <v>5.5</v>
      </c>
      <c r="F7" s="129"/>
      <c r="G7" s="133"/>
      <c r="H7" s="131"/>
    </row>
    <row r="8" spans="1:9" ht="16.5" thickBot="1" x14ac:dyDescent="0.3">
      <c r="A8" s="310" t="s">
        <v>303</v>
      </c>
      <c r="B8" s="311"/>
      <c r="C8" s="311"/>
      <c r="D8" s="311"/>
      <c r="E8" s="245">
        <f>SUM(E6:E7)</f>
        <v>5.77</v>
      </c>
      <c r="F8" s="129"/>
      <c r="G8" s="130"/>
      <c r="H8" s="131"/>
    </row>
    <row r="9" spans="1:9" ht="16.5" thickBot="1" x14ac:dyDescent="0.3">
      <c r="F9" s="129"/>
      <c r="G9" s="130"/>
      <c r="H9" s="131"/>
      <c r="I9" s="155"/>
    </row>
    <row r="10" spans="1:9" ht="15.75" x14ac:dyDescent="0.25">
      <c r="A10" s="307" t="s">
        <v>304</v>
      </c>
      <c r="B10" s="308"/>
      <c r="C10" s="308"/>
      <c r="D10" s="308"/>
      <c r="E10" s="309"/>
      <c r="F10" s="129"/>
      <c r="G10" s="130"/>
      <c r="H10" s="131"/>
      <c r="I10" s="155"/>
    </row>
    <row r="11" spans="1:9" ht="30" x14ac:dyDescent="0.25">
      <c r="A11" s="234" t="s">
        <v>299</v>
      </c>
      <c r="B11" s="235" t="s">
        <v>300</v>
      </c>
      <c r="C11" s="235" t="s">
        <v>321</v>
      </c>
      <c r="D11" s="236" t="s">
        <v>301</v>
      </c>
      <c r="E11" s="237" t="s">
        <v>302</v>
      </c>
      <c r="F11" s="129"/>
      <c r="G11" s="130"/>
      <c r="H11" s="131"/>
      <c r="I11" s="155"/>
    </row>
    <row r="12" spans="1:9" ht="15.75" x14ac:dyDescent="0.25">
      <c r="A12" s="238" t="s">
        <v>277</v>
      </c>
      <c r="B12" s="239" t="s">
        <v>390</v>
      </c>
      <c r="C12" s="132">
        <f>1/(30*2500)</f>
        <v>1.3332999999999999E-5</v>
      </c>
      <c r="D12" s="188">
        <f>'1 - Encarregado'!D137</f>
        <v>7157.32</v>
      </c>
      <c r="E12" s="240">
        <f>ROUND(D12*C12,2)</f>
        <v>0.1</v>
      </c>
      <c r="F12" s="129"/>
      <c r="G12" s="130"/>
      <c r="H12" s="131"/>
      <c r="I12" s="241"/>
    </row>
    <row r="13" spans="1:9" ht="16.5" thickBot="1" x14ac:dyDescent="0.3">
      <c r="A13" s="242" t="s">
        <v>281</v>
      </c>
      <c r="B13" s="149" t="s">
        <v>391</v>
      </c>
      <c r="C13" s="150">
        <f>1/2500</f>
        <v>4.0000000000000002E-4</v>
      </c>
      <c r="D13" s="243">
        <f>'2 - Servente'!D137</f>
        <v>4869.3599999999997</v>
      </c>
      <c r="E13" s="244">
        <f>ROUND(D13*C13,2)</f>
        <v>1.95</v>
      </c>
      <c r="F13" s="129"/>
      <c r="G13" s="130"/>
      <c r="H13" s="131"/>
    </row>
    <row r="14" spans="1:9" ht="16.5" thickBot="1" x14ac:dyDescent="0.3">
      <c r="A14" s="310" t="s">
        <v>303</v>
      </c>
      <c r="B14" s="311"/>
      <c r="C14" s="311"/>
      <c r="D14" s="311"/>
      <c r="E14" s="245">
        <f>SUM(E12:E13)</f>
        <v>2.0499999999999998</v>
      </c>
      <c r="F14" s="129"/>
      <c r="G14" s="130"/>
      <c r="H14" s="131"/>
      <c r="I14" s="155"/>
    </row>
    <row r="15" spans="1:9" ht="16.5" thickBot="1" x14ac:dyDescent="0.3">
      <c r="F15" s="129"/>
      <c r="G15" s="130"/>
      <c r="H15" s="131"/>
      <c r="I15" s="155"/>
    </row>
    <row r="16" spans="1:9" ht="15.75" x14ac:dyDescent="0.25">
      <c r="A16" s="307" t="s">
        <v>305</v>
      </c>
      <c r="B16" s="308"/>
      <c r="C16" s="308"/>
      <c r="D16" s="308"/>
      <c r="E16" s="309"/>
      <c r="F16" s="129"/>
      <c r="G16" s="130"/>
      <c r="H16" s="131"/>
      <c r="I16" s="155"/>
    </row>
    <row r="17" spans="1:14" ht="30" x14ac:dyDescent="0.25">
      <c r="A17" s="234" t="s">
        <v>299</v>
      </c>
      <c r="B17" s="235" t="s">
        <v>300</v>
      </c>
      <c r="C17" s="235" t="s">
        <v>321</v>
      </c>
      <c r="D17" s="236" t="s">
        <v>301</v>
      </c>
      <c r="E17" s="237" t="s">
        <v>302</v>
      </c>
      <c r="F17" s="129"/>
      <c r="G17" s="130"/>
      <c r="H17" s="131"/>
      <c r="I17" s="155"/>
    </row>
    <row r="18" spans="1:14" ht="15.75" x14ac:dyDescent="0.25">
      <c r="A18" s="238" t="s">
        <v>277</v>
      </c>
      <c r="B18" s="239" t="s">
        <v>400</v>
      </c>
      <c r="C18" s="132">
        <f>1/(30*360)</f>
        <v>9.2592999999999999E-5</v>
      </c>
      <c r="D18" s="188">
        <f>'1 - Encarregado'!D137</f>
        <v>7157.32</v>
      </c>
      <c r="E18" s="240">
        <f>ROUND(D18*C18,2)</f>
        <v>0.66</v>
      </c>
      <c r="F18" s="129"/>
      <c r="G18" s="130"/>
      <c r="H18" s="131"/>
      <c r="I18" s="241"/>
    </row>
    <row r="19" spans="1:14" ht="16.5" thickBot="1" x14ac:dyDescent="0.3">
      <c r="A19" s="242" t="s">
        <v>280</v>
      </c>
      <c r="B19" s="149" t="s">
        <v>401</v>
      </c>
      <c r="C19" s="150">
        <f>1/360</f>
        <v>2.7777777777777801E-3</v>
      </c>
      <c r="D19" s="243">
        <f>'3 - Servente Insalubre'!D137</f>
        <v>5470.67</v>
      </c>
      <c r="E19" s="244">
        <f>ROUND(D19*C19,2)</f>
        <v>15.2</v>
      </c>
      <c r="F19" s="129"/>
      <c r="G19" s="130"/>
      <c r="H19" s="131"/>
    </row>
    <row r="20" spans="1:14" ht="16.5" thickBot="1" x14ac:dyDescent="0.3">
      <c r="A20" s="310" t="s">
        <v>303</v>
      </c>
      <c r="B20" s="311"/>
      <c r="C20" s="311"/>
      <c r="D20" s="311"/>
      <c r="E20" s="245">
        <f>SUM(E18:E19)</f>
        <v>15.86</v>
      </c>
      <c r="F20" s="129"/>
      <c r="G20" s="130"/>
      <c r="H20" s="131"/>
      <c r="I20" s="155"/>
    </row>
    <row r="21" spans="1:14" ht="16.5" thickBot="1" x14ac:dyDescent="0.3">
      <c r="F21" s="129"/>
      <c r="G21" s="130"/>
      <c r="H21" s="131"/>
      <c r="I21" s="155"/>
    </row>
    <row r="22" spans="1:14" ht="15.75" x14ac:dyDescent="0.25">
      <c r="A22" s="307" t="s">
        <v>306</v>
      </c>
      <c r="B22" s="308"/>
      <c r="C22" s="308"/>
      <c r="D22" s="308"/>
      <c r="E22" s="309"/>
      <c r="F22" s="129"/>
      <c r="G22" s="130"/>
      <c r="H22" s="131"/>
      <c r="I22" s="155"/>
    </row>
    <row r="23" spans="1:14" ht="30" x14ac:dyDescent="0.25">
      <c r="A23" s="234" t="s">
        <v>299</v>
      </c>
      <c r="B23" s="235" t="s">
        <v>300</v>
      </c>
      <c r="C23" s="235"/>
      <c r="D23" s="236" t="s">
        <v>301</v>
      </c>
      <c r="E23" s="237" t="s">
        <v>302</v>
      </c>
      <c r="F23" s="129"/>
      <c r="G23" s="130"/>
      <c r="H23" s="131"/>
      <c r="I23" s="155"/>
    </row>
    <row r="24" spans="1:14" ht="15.75" x14ac:dyDescent="0.25">
      <c r="A24" s="238" t="s">
        <v>277</v>
      </c>
      <c r="B24" s="239" t="s">
        <v>392</v>
      </c>
      <c r="C24" s="132">
        <f>1/(30*690)</f>
        <v>4.8309000000000001E-5</v>
      </c>
      <c r="D24" s="188">
        <f>'1 - Encarregado'!D137</f>
        <v>7157.32</v>
      </c>
      <c r="E24" s="240">
        <f>ROUND(D24*C24,2)</f>
        <v>0.35</v>
      </c>
      <c r="F24" s="129"/>
      <c r="G24" s="130"/>
      <c r="H24" s="131"/>
      <c r="I24" s="241"/>
    </row>
    <row r="25" spans="1:14" ht="16.5" thickBot="1" x14ac:dyDescent="0.3">
      <c r="A25" s="242" t="s">
        <v>307</v>
      </c>
      <c r="B25" s="149" t="s">
        <v>393</v>
      </c>
      <c r="C25" s="150">
        <f>1/690</f>
        <v>1.4492753623188399E-3</v>
      </c>
      <c r="D25" s="243">
        <f>'2 - Servente'!D137</f>
        <v>4869.3599999999997</v>
      </c>
      <c r="E25" s="244">
        <f>ROUND(D25*C25,2)</f>
        <v>7.06</v>
      </c>
      <c r="F25" s="129"/>
      <c r="G25" s="130"/>
      <c r="H25" s="131"/>
    </row>
    <row r="26" spans="1:14" ht="16.5" thickBot="1" x14ac:dyDescent="0.3">
      <c r="A26" s="310" t="s">
        <v>303</v>
      </c>
      <c r="B26" s="311"/>
      <c r="C26" s="311"/>
      <c r="D26" s="311"/>
      <c r="E26" s="245">
        <f>SUM(E24:E25)</f>
        <v>7.41</v>
      </c>
      <c r="F26" s="129"/>
      <c r="G26" s="130"/>
      <c r="H26" s="131"/>
      <c r="I26" s="155"/>
    </row>
    <row r="27" spans="1:14" ht="15.75" x14ac:dyDescent="0.25">
      <c r="F27" s="129"/>
      <c r="G27" s="130"/>
      <c r="H27" s="131"/>
      <c r="I27" s="155"/>
    </row>
    <row r="28" spans="1:14" x14ac:dyDescent="0.25">
      <c r="A28" s="302" t="s">
        <v>308</v>
      </c>
      <c r="B28" s="302"/>
      <c r="C28" s="302"/>
      <c r="D28" s="302"/>
      <c r="E28" s="302"/>
      <c r="F28" s="302"/>
      <c r="G28" s="302"/>
      <c r="H28" s="302"/>
      <c r="I28" s="155"/>
    </row>
    <row r="29" spans="1:14" ht="60" x14ac:dyDescent="0.25">
      <c r="A29" s="246" t="s">
        <v>408</v>
      </c>
      <c r="B29" s="247" t="s">
        <v>309</v>
      </c>
      <c r="C29" s="247" t="s">
        <v>310</v>
      </c>
      <c r="D29" s="247" t="s">
        <v>311</v>
      </c>
      <c r="E29" s="247" t="s">
        <v>312</v>
      </c>
      <c r="F29" s="247" t="s">
        <v>301</v>
      </c>
      <c r="G29" s="247" t="s">
        <v>302</v>
      </c>
      <c r="H29" s="248"/>
      <c r="J29" s="108" t="e">
        <f>H29/I29</f>
        <v>#DIV/0!</v>
      </c>
      <c r="K29" s="108">
        <f>H29/M34</f>
        <v>0</v>
      </c>
      <c r="M29" s="155" t="e">
        <f>F31/H30</f>
        <v>#DIV/0!</v>
      </c>
      <c r="N29" s="155" t="e">
        <f>M29/2</f>
        <v>#DIV/0!</v>
      </c>
    </row>
    <row r="30" spans="1:14" x14ac:dyDescent="0.25">
      <c r="A30" s="249" t="s">
        <v>277</v>
      </c>
      <c r="B30" s="250" t="str">
        <f>"1/(4x300)"</f>
        <v>1/(4x300)</v>
      </c>
      <c r="C30" s="251">
        <v>16</v>
      </c>
      <c r="D30" s="251" t="s">
        <v>313</v>
      </c>
      <c r="E30" s="252">
        <f>(1/(4*300))*C30*(1/191.4)</f>
        <v>6.97E-5</v>
      </c>
      <c r="F30" s="253">
        <f>'1 - Encarregado'!D137</f>
        <v>7157.32</v>
      </c>
      <c r="G30" s="254">
        <f>ROUND(F30*E30,2)</f>
        <v>0.5</v>
      </c>
      <c r="H30" s="255"/>
    </row>
    <row r="31" spans="1:14" ht="15.75" thickBot="1" x14ac:dyDescent="0.3">
      <c r="A31" s="249" t="s">
        <v>279</v>
      </c>
      <c r="B31" s="250" t="str">
        <f>"1/300"</f>
        <v>1/300</v>
      </c>
      <c r="C31" s="251">
        <v>16</v>
      </c>
      <c r="D31" s="251" t="s">
        <v>313</v>
      </c>
      <c r="E31" s="256">
        <f>(1/300)*C31*(1/191.4)</f>
        <v>2.786E-4</v>
      </c>
      <c r="F31" s="253">
        <f>'4 - Jauzeiro'!D137</f>
        <v>5857.8</v>
      </c>
      <c r="G31" s="254">
        <f>ROUND(F31*E31,2)</f>
        <v>1.63</v>
      </c>
      <c r="H31" s="257"/>
    </row>
    <row r="32" spans="1:14" ht="15.75" thickBot="1" x14ac:dyDescent="0.3">
      <c r="A32" s="303" t="s">
        <v>303</v>
      </c>
      <c r="B32" s="304"/>
      <c r="C32" s="304"/>
      <c r="D32" s="304"/>
      <c r="E32" s="304"/>
      <c r="F32" s="305"/>
      <c r="G32" s="258">
        <f>SUM(G30:G31)</f>
        <v>2.13</v>
      </c>
      <c r="H32" s="259">
        <f>SUM(G30:G31)</f>
        <v>2.13</v>
      </c>
      <c r="I32" s="257"/>
      <c r="M32" s="108">
        <f>4.35*44</f>
        <v>191.4</v>
      </c>
      <c r="N32" s="108">
        <f>M32*6</f>
        <v>1148.4000000000001</v>
      </c>
    </row>
    <row r="33" spans="1:15" x14ac:dyDescent="0.25">
      <c r="A33" s="260"/>
      <c r="B33" s="260"/>
      <c r="C33" s="260"/>
      <c r="D33" s="260"/>
      <c r="E33" s="260"/>
      <c r="F33" s="260"/>
      <c r="G33" s="260"/>
      <c r="H33" s="261"/>
      <c r="I33" s="257"/>
      <c r="M33" s="108">
        <f>16/M32</f>
        <v>8.3594566353187003E-2</v>
      </c>
    </row>
    <row r="34" spans="1:15" x14ac:dyDescent="0.25">
      <c r="A34" s="302" t="s">
        <v>314</v>
      </c>
      <c r="B34" s="302"/>
      <c r="C34" s="302"/>
      <c r="D34" s="302"/>
      <c r="E34" s="302"/>
      <c r="F34" s="302"/>
      <c r="G34" s="302"/>
      <c r="H34" s="302"/>
      <c r="I34" s="257"/>
      <c r="L34" s="108">
        <f>M32/2</f>
        <v>95.7</v>
      </c>
      <c r="M34" s="108">
        <f>1/M33</f>
        <v>11.9625</v>
      </c>
    </row>
    <row r="35" spans="1:15" ht="60" x14ac:dyDescent="0.25">
      <c r="A35" s="246" t="s">
        <v>408</v>
      </c>
      <c r="B35" s="247" t="s">
        <v>315</v>
      </c>
      <c r="C35" s="247" t="s">
        <v>507</v>
      </c>
      <c r="D35" s="247" t="s">
        <v>508</v>
      </c>
      <c r="E35" s="247" t="s">
        <v>312</v>
      </c>
      <c r="F35" s="247" t="s">
        <v>318</v>
      </c>
      <c r="G35" s="247" t="s">
        <v>302</v>
      </c>
      <c r="H35" s="262">
        <v>10850.95</v>
      </c>
      <c r="K35" s="108">
        <f>L34/16</f>
        <v>5.9812500000000002</v>
      </c>
      <c r="L35" s="108">
        <f>K35*H30</f>
        <v>0</v>
      </c>
      <c r="N35" s="108">
        <f>L34/2</f>
        <v>47.85</v>
      </c>
    </row>
    <row r="36" spans="1:15" x14ac:dyDescent="0.25">
      <c r="A36" s="249" t="s">
        <v>277</v>
      </c>
      <c r="B36" s="250" t="str">
        <f>"1/(4x130)"</f>
        <v>1/(4x130)</v>
      </c>
      <c r="C36" s="251">
        <v>8</v>
      </c>
      <c r="D36" s="251" t="str">
        <f>"1/"&amp;4.35*44*3</f>
        <v>1/574,2</v>
      </c>
      <c r="E36" s="252">
        <f>(1/(4*130))*C36*(1/574.2)</f>
        <v>2.6800000000000001E-5</v>
      </c>
      <c r="F36" s="253">
        <f>'1 - Encarregado'!D137</f>
        <v>7157.32</v>
      </c>
      <c r="G36" s="254">
        <f>ROUND(F36*E36,2)</f>
        <v>0.19</v>
      </c>
      <c r="H36" s="255"/>
    </row>
    <row r="37" spans="1:15" ht="15.75" thickBot="1" x14ac:dyDescent="0.3">
      <c r="A37" s="249" t="s">
        <v>279</v>
      </c>
      <c r="B37" s="250" t="str">
        <f>"1/130"</f>
        <v>1/130</v>
      </c>
      <c r="C37" s="251">
        <v>8</v>
      </c>
      <c r="D37" s="251" t="str">
        <f>D36</f>
        <v>1/574,2</v>
      </c>
      <c r="E37" s="256">
        <f>(1/130)*C37*(1/574.2)</f>
        <v>1.072E-4</v>
      </c>
      <c r="F37" s="253">
        <f>'4 - Jauzeiro'!D137</f>
        <v>5857.8</v>
      </c>
      <c r="G37" s="254">
        <f>ROUND(F37*E37,2)</f>
        <v>0.63</v>
      </c>
      <c r="H37" s="257"/>
    </row>
    <row r="38" spans="1:15" ht="15.75" thickBot="1" x14ac:dyDescent="0.3">
      <c r="A38" s="303" t="s">
        <v>303</v>
      </c>
      <c r="B38" s="304"/>
      <c r="C38" s="304"/>
      <c r="D38" s="304"/>
      <c r="E38" s="304"/>
      <c r="F38" s="305"/>
      <c r="G38" s="258">
        <f>SUM(G36:G37)</f>
        <v>0.82</v>
      </c>
      <c r="H38" s="259">
        <f>SUM(G36:G37)</f>
        <v>0.82</v>
      </c>
      <c r="I38" s="257">
        <v>0.41</v>
      </c>
    </row>
    <row r="39" spans="1:15" ht="15.75" thickBot="1" x14ac:dyDescent="0.3">
      <c r="A39" s="260"/>
      <c r="B39" s="260"/>
      <c r="C39" s="260"/>
      <c r="D39" s="260"/>
      <c r="E39" s="260"/>
      <c r="F39" s="260"/>
      <c r="G39" s="260"/>
      <c r="H39" s="261"/>
      <c r="I39" s="257"/>
      <c r="M39" s="155">
        <f>'[1]2 - Servente'!E114</f>
        <v>772.31</v>
      </c>
      <c r="N39" s="155">
        <f>'[1]2 - Servente'!F113</f>
        <v>39.770000000000003</v>
      </c>
      <c r="O39" s="155" t="e">
        <f>'[1]2 - Servente'!#REF!</f>
        <v>#REF!</v>
      </c>
    </row>
    <row r="40" spans="1:15" x14ac:dyDescent="0.25">
      <c r="A40" s="263"/>
      <c r="B40" s="263"/>
      <c r="C40" s="263"/>
      <c r="D40" s="263"/>
      <c r="E40" s="263"/>
      <c r="F40" s="263"/>
      <c r="G40" s="263"/>
      <c r="H40" s="263"/>
    </row>
    <row r="41" spans="1:15" x14ac:dyDescent="0.25">
      <c r="A41" s="302" t="s">
        <v>319</v>
      </c>
      <c r="B41" s="302"/>
      <c r="C41" s="302"/>
      <c r="D41" s="302"/>
      <c r="E41" s="302"/>
      <c r="F41" s="302"/>
      <c r="G41" s="302"/>
      <c r="H41" s="302"/>
    </row>
    <row r="42" spans="1:15" ht="60" x14ac:dyDescent="0.25">
      <c r="A42" s="246" t="s">
        <v>408</v>
      </c>
      <c r="B42" s="247" t="s">
        <v>320</v>
      </c>
      <c r="C42" s="247" t="s">
        <v>316</v>
      </c>
      <c r="D42" s="247" t="s">
        <v>317</v>
      </c>
      <c r="E42" s="247" t="s">
        <v>312</v>
      </c>
      <c r="F42" s="247" t="s">
        <v>301</v>
      </c>
      <c r="G42" s="247" t="s">
        <v>302</v>
      </c>
      <c r="H42" s="248">
        <f>'[1]Quadro Resumo m²'!E12</f>
        <v>3251.56</v>
      </c>
    </row>
    <row r="43" spans="1:15" x14ac:dyDescent="0.25">
      <c r="A43" s="249" t="s">
        <v>277</v>
      </c>
      <c r="B43" s="250" t="str">
        <f>"1/(4x300)"</f>
        <v>1/(4x300)</v>
      </c>
      <c r="C43" s="251">
        <v>8</v>
      </c>
      <c r="D43" s="251" t="s">
        <v>313</v>
      </c>
      <c r="E43" s="252">
        <f>(1/(4*300))*C43*(1/191.4)</f>
        <v>3.4799999999999999E-5</v>
      </c>
      <c r="F43" s="253">
        <f>'1 - Encarregado'!D137</f>
        <v>7157.32</v>
      </c>
      <c r="G43" s="254">
        <f>ROUND(F43*E43,2)</f>
        <v>0.25</v>
      </c>
      <c r="H43" s="255"/>
    </row>
    <row r="44" spans="1:15" ht="15.75" thickBot="1" x14ac:dyDescent="0.3">
      <c r="A44" s="249" t="s">
        <v>516</v>
      </c>
      <c r="B44" s="250" t="str">
        <f>"1/300"</f>
        <v>1/300</v>
      </c>
      <c r="C44" s="251">
        <v>8</v>
      </c>
      <c r="D44" s="251" t="s">
        <v>313</v>
      </c>
      <c r="E44" s="256">
        <f>(1/300)*C44*(1/191.4)</f>
        <v>1.393E-4</v>
      </c>
      <c r="F44" s="253">
        <f>'2.1 - Servente Esquadria'!D137</f>
        <v>4328.33</v>
      </c>
      <c r="G44" s="254">
        <f>ROUND(F44*E44,2)</f>
        <v>0.6</v>
      </c>
      <c r="H44" s="255"/>
    </row>
    <row r="45" spans="1:15" ht="15.75" thickBot="1" x14ac:dyDescent="0.3">
      <c r="A45" s="303" t="s">
        <v>303</v>
      </c>
      <c r="B45" s="304"/>
      <c r="C45" s="304"/>
      <c r="D45" s="304"/>
      <c r="E45" s="304"/>
      <c r="F45" s="305"/>
      <c r="G45" s="258">
        <f>SUM(G43:G44)</f>
        <v>0.85</v>
      </c>
      <c r="H45" s="259">
        <f>SUM(G43:G44)</f>
        <v>0.85</v>
      </c>
      <c r="I45" s="255">
        <v>1.44</v>
      </c>
    </row>
    <row r="46" spans="1:15" x14ac:dyDescent="0.25">
      <c r="A46" s="264"/>
      <c r="B46" s="264"/>
      <c r="C46" s="264"/>
      <c r="D46" s="264"/>
      <c r="E46" s="264"/>
      <c r="F46" s="264"/>
      <c r="G46" s="264"/>
      <c r="H46" s="264"/>
    </row>
    <row r="47" spans="1:15" ht="15.75" x14ac:dyDescent="0.25">
      <c r="A47" s="316"/>
      <c r="B47" s="316"/>
      <c r="C47" s="316"/>
      <c r="D47" s="316"/>
      <c r="E47" s="316"/>
      <c r="F47" s="316"/>
      <c r="G47" s="316"/>
      <c r="H47" s="316"/>
    </row>
    <row r="48" spans="1:15" x14ac:dyDescent="0.25">
      <c r="A48" s="264"/>
      <c r="B48" s="264"/>
      <c r="C48" s="264"/>
      <c r="D48" s="264"/>
      <c r="E48" s="264"/>
      <c r="F48" s="264"/>
      <c r="G48" s="264"/>
      <c r="H48" s="264"/>
    </row>
    <row r="49" spans="1:8" x14ac:dyDescent="0.25">
      <c r="A49" s="302" t="s">
        <v>409</v>
      </c>
      <c r="B49" s="302"/>
      <c r="C49" s="302"/>
      <c r="D49" s="302"/>
      <c r="E49" s="302"/>
      <c r="F49" s="302"/>
      <c r="G49" s="302"/>
      <c r="H49" s="302"/>
    </row>
    <row r="50" spans="1:8" ht="60" x14ac:dyDescent="0.25">
      <c r="A50" s="246" t="s">
        <v>408</v>
      </c>
      <c r="B50" s="247" t="s">
        <v>501</v>
      </c>
      <c r="C50" s="247" t="s">
        <v>316</v>
      </c>
      <c r="D50" s="247" t="s">
        <v>317</v>
      </c>
      <c r="E50" s="247" t="s">
        <v>312</v>
      </c>
      <c r="F50" s="247" t="s">
        <v>301</v>
      </c>
      <c r="G50" s="247" t="s">
        <v>302</v>
      </c>
      <c r="H50" s="248">
        <f>'[1]Quadro Resumo m²'!E20</f>
        <v>0</v>
      </c>
    </row>
    <row r="51" spans="1:8" x14ac:dyDescent="0.25">
      <c r="A51" s="249" t="s">
        <v>277</v>
      </c>
      <c r="B51" s="250" t="str">
        <f>"1/(1x2700)"</f>
        <v>1/(1x2700)</v>
      </c>
      <c r="C51" s="251">
        <v>8</v>
      </c>
      <c r="D51" s="251" t="s">
        <v>313</v>
      </c>
      <c r="E51" s="252">
        <f>(1/(1*2700))*C51*(1/191.4)</f>
        <v>1.5500000000000001E-5</v>
      </c>
      <c r="F51" s="253">
        <f>'1 - Encarregado'!D137</f>
        <v>7157.32</v>
      </c>
      <c r="G51" s="254">
        <f>ROUND(F51*E51,2)</f>
        <v>0.11</v>
      </c>
      <c r="H51" s="255"/>
    </row>
    <row r="52" spans="1:8" ht="15.75" thickBot="1" x14ac:dyDescent="0.3">
      <c r="A52" s="249" t="s">
        <v>410</v>
      </c>
      <c r="B52" s="250" t="str">
        <f>"1/2700"</f>
        <v>1/2700</v>
      </c>
      <c r="C52" s="251">
        <v>8</v>
      </c>
      <c r="D52" s="251" t="s">
        <v>313</v>
      </c>
      <c r="E52" s="256">
        <f>(1/2700)*C52*(1/191.4)</f>
        <v>1.5500000000000001E-5</v>
      </c>
      <c r="F52" s="253">
        <f>'5 - Jardineiro'!D137</f>
        <v>5655.03</v>
      </c>
      <c r="G52" s="254">
        <f>ROUND(F52*E52,2)</f>
        <v>0.09</v>
      </c>
      <c r="H52" s="255"/>
    </row>
    <row r="53" spans="1:8" ht="15.75" thickBot="1" x14ac:dyDescent="0.3">
      <c r="A53" s="303" t="s">
        <v>303</v>
      </c>
      <c r="B53" s="304"/>
      <c r="C53" s="304"/>
      <c r="D53" s="304"/>
      <c r="E53" s="304"/>
      <c r="F53" s="305"/>
      <c r="G53" s="258">
        <f>SUM(G51:G52)</f>
        <v>0.2</v>
      </c>
      <c r="H53" s="259">
        <f>SUM(G51:G52)</f>
        <v>0.2</v>
      </c>
    </row>
  </sheetData>
  <mergeCells count="19">
    <mergeCell ref="A47:H47"/>
    <mergeCell ref="A38:F38"/>
    <mergeCell ref="A45:F45"/>
    <mergeCell ref="A49:H49"/>
    <mergeCell ref="A53:F53"/>
    <mergeCell ref="A1:H1"/>
    <mergeCell ref="A4:E4"/>
    <mergeCell ref="A8:D8"/>
    <mergeCell ref="A10:E10"/>
    <mergeCell ref="A14:D14"/>
    <mergeCell ref="A34:H34"/>
    <mergeCell ref="A41:H41"/>
    <mergeCell ref="A32:F32"/>
    <mergeCell ref="A3:E3"/>
    <mergeCell ref="A16:E16"/>
    <mergeCell ref="A20:D20"/>
    <mergeCell ref="A22:E22"/>
    <mergeCell ref="A26:D26"/>
    <mergeCell ref="A28:H28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workbookViewId="0">
      <selection activeCell="G13" sqref="G13"/>
    </sheetView>
  </sheetViews>
  <sheetFormatPr defaultRowHeight="15" x14ac:dyDescent="0.25"/>
  <cols>
    <col min="1" max="1" width="7.140625" style="105" customWidth="1"/>
    <col min="2" max="2" width="8.85546875" style="105" customWidth="1"/>
    <col min="3" max="3" width="40.140625" style="105" bestFit="1" customWidth="1"/>
    <col min="4" max="4" width="13.140625" style="105" bestFit="1" customWidth="1"/>
    <col min="5" max="5" width="14.140625" style="105" bestFit="1" customWidth="1"/>
    <col min="6" max="6" width="15" style="105" bestFit="1" customWidth="1"/>
    <col min="7" max="7" width="14.28515625" style="105" customWidth="1"/>
    <col min="8" max="8" width="14.140625" style="105" customWidth="1"/>
    <col min="9" max="11" width="11.5703125" style="105" customWidth="1"/>
    <col min="12" max="13" width="11.42578125" style="105" customWidth="1"/>
    <col min="14" max="14" width="0.140625" style="105" customWidth="1"/>
    <col min="15" max="15" width="14.140625" style="105" customWidth="1"/>
    <col min="16" max="258" width="9.140625" style="105"/>
    <col min="259" max="259" width="7.140625" style="105" customWidth="1"/>
    <col min="260" max="260" width="8.85546875" style="105" customWidth="1"/>
    <col min="261" max="261" width="30.28515625" style="105" customWidth="1"/>
    <col min="262" max="262" width="13.140625" style="105" bestFit="1" customWidth="1"/>
    <col min="263" max="263" width="14.140625" style="105" bestFit="1" customWidth="1"/>
    <col min="264" max="264" width="15" style="105" bestFit="1" customWidth="1"/>
    <col min="265" max="265" width="14.28515625" style="105" customWidth="1"/>
    <col min="266" max="266" width="14.140625" style="105" customWidth="1"/>
    <col min="267" max="267" width="11.5703125" style="105" customWidth="1"/>
    <col min="268" max="269" width="11.42578125" style="105" customWidth="1"/>
    <col min="270" max="270" width="0.140625" style="105" customWidth="1"/>
    <col min="271" max="271" width="14.140625" style="105" customWidth="1"/>
    <col min="272" max="514" width="9.140625" style="105"/>
    <col min="515" max="515" width="7.140625" style="105" customWidth="1"/>
    <col min="516" max="516" width="8.85546875" style="105" customWidth="1"/>
    <col min="517" max="517" width="30.28515625" style="105" customWidth="1"/>
    <col min="518" max="518" width="13.140625" style="105" bestFit="1" customWidth="1"/>
    <col min="519" max="519" width="14.140625" style="105" bestFit="1" customWidth="1"/>
    <col min="520" max="520" width="15" style="105" bestFit="1" customWidth="1"/>
    <col min="521" max="521" width="14.28515625" style="105" customWidth="1"/>
    <col min="522" max="522" width="14.140625" style="105" customWidth="1"/>
    <col min="523" max="523" width="11.5703125" style="105" customWidth="1"/>
    <col min="524" max="525" width="11.42578125" style="105" customWidth="1"/>
    <col min="526" max="526" width="0.140625" style="105" customWidth="1"/>
    <col min="527" max="527" width="14.140625" style="105" customWidth="1"/>
    <col min="528" max="770" width="9.140625" style="105"/>
    <col min="771" max="771" width="7.140625" style="105" customWidth="1"/>
    <col min="772" max="772" width="8.85546875" style="105" customWidth="1"/>
    <col min="773" max="773" width="30.28515625" style="105" customWidth="1"/>
    <col min="774" max="774" width="13.140625" style="105" bestFit="1" customWidth="1"/>
    <col min="775" max="775" width="14.140625" style="105" bestFit="1" customWidth="1"/>
    <col min="776" max="776" width="15" style="105" bestFit="1" customWidth="1"/>
    <col min="777" max="777" width="14.28515625" style="105" customWidth="1"/>
    <col min="778" max="778" width="14.140625" style="105" customWidth="1"/>
    <col min="779" max="779" width="11.5703125" style="105" customWidth="1"/>
    <col min="780" max="781" width="11.42578125" style="105" customWidth="1"/>
    <col min="782" max="782" width="0.140625" style="105" customWidth="1"/>
    <col min="783" max="783" width="14.140625" style="105" customWidth="1"/>
    <col min="784" max="1026" width="9.140625" style="105"/>
    <col min="1027" max="1027" width="7.140625" style="105" customWidth="1"/>
    <col min="1028" max="1028" width="8.85546875" style="105" customWidth="1"/>
    <col min="1029" max="1029" width="30.28515625" style="105" customWidth="1"/>
    <col min="1030" max="1030" width="13.140625" style="105" bestFit="1" customWidth="1"/>
    <col min="1031" max="1031" width="14.140625" style="105" bestFit="1" customWidth="1"/>
    <col min="1032" max="1032" width="15" style="105" bestFit="1" customWidth="1"/>
    <col min="1033" max="1033" width="14.28515625" style="105" customWidth="1"/>
    <col min="1034" max="1034" width="14.140625" style="105" customWidth="1"/>
    <col min="1035" max="1035" width="11.5703125" style="105" customWidth="1"/>
    <col min="1036" max="1037" width="11.42578125" style="105" customWidth="1"/>
    <col min="1038" max="1038" width="0.140625" style="105" customWidth="1"/>
    <col min="1039" max="1039" width="14.140625" style="105" customWidth="1"/>
    <col min="1040" max="1282" width="9.140625" style="105"/>
    <col min="1283" max="1283" width="7.140625" style="105" customWidth="1"/>
    <col min="1284" max="1284" width="8.85546875" style="105" customWidth="1"/>
    <col min="1285" max="1285" width="30.28515625" style="105" customWidth="1"/>
    <col min="1286" max="1286" width="13.140625" style="105" bestFit="1" customWidth="1"/>
    <col min="1287" max="1287" width="14.140625" style="105" bestFit="1" customWidth="1"/>
    <col min="1288" max="1288" width="15" style="105" bestFit="1" customWidth="1"/>
    <col min="1289" max="1289" width="14.28515625" style="105" customWidth="1"/>
    <col min="1290" max="1290" width="14.140625" style="105" customWidth="1"/>
    <col min="1291" max="1291" width="11.5703125" style="105" customWidth="1"/>
    <col min="1292" max="1293" width="11.42578125" style="105" customWidth="1"/>
    <col min="1294" max="1294" width="0.140625" style="105" customWidth="1"/>
    <col min="1295" max="1295" width="14.140625" style="105" customWidth="1"/>
    <col min="1296" max="1538" width="9.140625" style="105"/>
    <col min="1539" max="1539" width="7.140625" style="105" customWidth="1"/>
    <col min="1540" max="1540" width="8.85546875" style="105" customWidth="1"/>
    <col min="1541" max="1541" width="30.28515625" style="105" customWidth="1"/>
    <col min="1542" max="1542" width="13.140625" style="105" bestFit="1" customWidth="1"/>
    <col min="1543" max="1543" width="14.140625" style="105" bestFit="1" customWidth="1"/>
    <col min="1544" max="1544" width="15" style="105" bestFit="1" customWidth="1"/>
    <col min="1545" max="1545" width="14.28515625" style="105" customWidth="1"/>
    <col min="1546" max="1546" width="14.140625" style="105" customWidth="1"/>
    <col min="1547" max="1547" width="11.5703125" style="105" customWidth="1"/>
    <col min="1548" max="1549" width="11.42578125" style="105" customWidth="1"/>
    <col min="1550" max="1550" width="0.140625" style="105" customWidth="1"/>
    <col min="1551" max="1551" width="14.140625" style="105" customWidth="1"/>
    <col min="1552" max="1794" width="9.140625" style="105"/>
    <col min="1795" max="1795" width="7.140625" style="105" customWidth="1"/>
    <col min="1796" max="1796" width="8.85546875" style="105" customWidth="1"/>
    <col min="1797" max="1797" width="30.28515625" style="105" customWidth="1"/>
    <col min="1798" max="1798" width="13.140625" style="105" bestFit="1" customWidth="1"/>
    <col min="1799" max="1799" width="14.140625" style="105" bestFit="1" customWidth="1"/>
    <col min="1800" max="1800" width="15" style="105" bestFit="1" customWidth="1"/>
    <col min="1801" max="1801" width="14.28515625" style="105" customWidth="1"/>
    <col min="1802" max="1802" width="14.140625" style="105" customWidth="1"/>
    <col min="1803" max="1803" width="11.5703125" style="105" customWidth="1"/>
    <col min="1804" max="1805" width="11.42578125" style="105" customWidth="1"/>
    <col min="1806" max="1806" width="0.140625" style="105" customWidth="1"/>
    <col min="1807" max="1807" width="14.140625" style="105" customWidth="1"/>
    <col min="1808" max="2050" width="9.140625" style="105"/>
    <col min="2051" max="2051" width="7.140625" style="105" customWidth="1"/>
    <col min="2052" max="2052" width="8.85546875" style="105" customWidth="1"/>
    <col min="2053" max="2053" width="30.28515625" style="105" customWidth="1"/>
    <col min="2054" max="2054" width="13.140625" style="105" bestFit="1" customWidth="1"/>
    <col min="2055" max="2055" width="14.140625" style="105" bestFit="1" customWidth="1"/>
    <col min="2056" max="2056" width="15" style="105" bestFit="1" customWidth="1"/>
    <col min="2057" max="2057" width="14.28515625" style="105" customWidth="1"/>
    <col min="2058" max="2058" width="14.140625" style="105" customWidth="1"/>
    <col min="2059" max="2059" width="11.5703125" style="105" customWidth="1"/>
    <col min="2060" max="2061" width="11.42578125" style="105" customWidth="1"/>
    <col min="2062" max="2062" width="0.140625" style="105" customWidth="1"/>
    <col min="2063" max="2063" width="14.140625" style="105" customWidth="1"/>
    <col min="2064" max="2306" width="9.140625" style="105"/>
    <col min="2307" max="2307" width="7.140625" style="105" customWidth="1"/>
    <col min="2308" max="2308" width="8.85546875" style="105" customWidth="1"/>
    <col min="2309" max="2309" width="30.28515625" style="105" customWidth="1"/>
    <col min="2310" max="2310" width="13.140625" style="105" bestFit="1" customWidth="1"/>
    <col min="2311" max="2311" width="14.140625" style="105" bestFit="1" customWidth="1"/>
    <col min="2312" max="2312" width="15" style="105" bestFit="1" customWidth="1"/>
    <col min="2313" max="2313" width="14.28515625" style="105" customWidth="1"/>
    <col min="2314" max="2314" width="14.140625" style="105" customWidth="1"/>
    <col min="2315" max="2315" width="11.5703125" style="105" customWidth="1"/>
    <col min="2316" max="2317" width="11.42578125" style="105" customWidth="1"/>
    <col min="2318" max="2318" width="0.140625" style="105" customWidth="1"/>
    <col min="2319" max="2319" width="14.140625" style="105" customWidth="1"/>
    <col min="2320" max="2562" width="9.140625" style="105"/>
    <col min="2563" max="2563" width="7.140625" style="105" customWidth="1"/>
    <col min="2564" max="2564" width="8.85546875" style="105" customWidth="1"/>
    <col min="2565" max="2565" width="30.28515625" style="105" customWidth="1"/>
    <col min="2566" max="2566" width="13.140625" style="105" bestFit="1" customWidth="1"/>
    <col min="2567" max="2567" width="14.140625" style="105" bestFit="1" customWidth="1"/>
    <col min="2568" max="2568" width="15" style="105" bestFit="1" customWidth="1"/>
    <col min="2569" max="2569" width="14.28515625" style="105" customWidth="1"/>
    <col min="2570" max="2570" width="14.140625" style="105" customWidth="1"/>
    <col min="2571" max="2571" width="11.5703125" style="105" customWidth="1"/>
    <col min="2572" max="2573" width="11.42578125" style="105" customWidth="1"/>
    <col min="2574" max="2574" width="0.140625" style="105" customWidth="1"/>
    <col min="2575" max="2575" width="14.140625" style="105" customWidth="1"/>
    <col min="2576" max="2818" width="9.140625" style="105"/>
    <col min="2819" max="2819" width="7.140625" style="105" customWidth="1"/>
    <col min="2820" max="2820" width="8.85546875" style="105" customWidth="1"/>
    <col min="2821" max="2821" width="30.28515625" style="105" customWidth="1"/>
    <col min="2822" max="2822" width="13.140625" style="105" bestFit="1" customWidth="1"/>
    <col min="2823" max="2823" width="14.140625" style="105" bestFit="1" customWidth="1"/>
    <col min="2824" max="2824" width="15" style="105" bestFit="1" customWidth="1"/>
    <col min="2825" max="2825" width="14.28515625" style="105" customWidth="1"/>
    <col min="2826" max="2826" width="14.140625" style="105" customWidth="1"/>
    <col min="2827" max="2827" width="11.5703125" style="105" customWidth="1"/>
    <col min="2828" max="2829" width="11.42578125" style="105" customWidth="1"/>
    <col min="2830" max="2830" width="0.140625" style="105" customWidth="1"/>
    <col min="2831" max="2831" width="14.140625" style="105" customWidth="1"/>
    <col min="2832" max="3074" width="9.140625" style="105"/>
    <col min="3075" max="3075" width="7.140625" style="105" customWidth="1"/>
    <col min="3076" max="3076" width="8.85546875" style="105" customWidth="1"/>
    <col min="3077" max="3077" width="30.28515625" style="105" customWidth="1"/>
    <col min="3078" max="3078" width="13.140625" style="105" bestFit="1" customWidth="1"/>
    <col min="3079" max="3079" width="14.140625" style="105" bestFit="1" customWidth="1"/>
    <col min="3080" max="3080" width="15" style="105" bestFit="1" customWidth="1"/>
    <col min="3081" max="3081" width="14.28515625" style="105" customWidth="1"/>
    <col min="3082" max="3082" width="14.140625" style="105" customWidth="1"/>
    <col min="3083" max="3083" width="11.5703125" style="105" customWidth="1"/>
    <col min="3084" max="3085" width="11.42578125" style="105" customWidth="1"/>
    <col min="3086" max="3086" width="0.140625" style="105" customWidth="1"/>
    <col min="3087" max="3087" width="14.140625" style="105" customWidth="1"/>
    <col min="3088" max="3330" width="9.140625" style="105"/>
    <col min="3331" max="3331" width="7.140625" style="105" customWidth="1"/>
    <col min="3332" max="3332" width="8.85546875" style="105" customWidth="1"/>
    <col min="3333" max="3333" width="30.28515625" style="105" customWidth="1"/>
    <col min="3334" max="3334" width="13.140625" style="105" bestFit="1" customWidth="1"/>
    <col min="3335" max="3335" width="14.140625" style="105" bestFit="1" customWidth="1"/>
    <col min="3336" max="3336" width="15" style="105" bestFit="1" customWidth="1"/>
    <col min="3337" max="3337" width="14.28515625" style="105" customWidth="1"/>
    <col min="3338" max="3338" width="14.140625" style="105" customWidth="1"/>
    <col min="3339" max="3339" width="11.5703125" style="105" customWidth="1"/>
    <col min="3340" max="3341" width="11.42578125" style="105" customWidth="1"/>
    <col min="3342" max="3342" width="0.140625" style="105" customWidth="1"/>
    <col min="3343" max="3343" width="14.140625" style="105" customWidth="1"/>
    <col min="3344" max="3586" width="9.140625" style="105"/>
    <col min="3587" max="3587" width="7.140625" style="105" customWidth="1"/>
    <col min="3588" max="3588" width="8.85546875" style="105" customWidth="1"/>
    <col min="3589" max="3589" width="30.28515625" style="105" customWidth="1"/>
    <col min="3590" max="3590" width="13.140625" style="105" bestFit="1" customWidth="1"/>
    <col min="3591" max="3591" width="14.140625" style="105" bestFit="1" customWidth="1"/>
    <col min="3592" max="3592" width="15" style="105" bestFit="1" customWidth="1"/>
    <col min="3593" max="3593" width="14.28515625" style="105" customWidth="1"/>
    <col min="3594" max="3594" width="14.140625" style="105" customWidth="1"/>
    <col min="3595" max="3595" width="11.5703125" style="105" customWidth="1"/>
    <col min="3596" max="3597" width="11.42578125" style="105" customWidth="1"/>
    <col min="3598" max="3598" width="0.140625" style="105" customWidth="1"/>
    <col min="3599" max="3599" width="14.140625" style="105" customWidth="1"/>
    <col min="3600" max="3842" width="9.140625" style="105"/>
    <col min="3843" max="3843" width="7.140625" style="105" customWidth="1"/>
    <col min="3844" max="3844" width="8.85546875" style="105" customWidth="1"/>
    <col min="3845" max="3845" width="30.28515625" style="105" customWidth="1"/>
    <col min="3846" max="3846" width="13.140625" style="105" bestFit="1" customWidth="1"/>
    <col min="3847" max="3847" width="14.140625" style="105" bestFit="1" customWidth="1"/>
    <col min="3848" max="3848" width="15" style="105" bestFit="1" customWidth="1"/>
    <col min="3849" max="3849" width="14.28515625" style="105" customWidth="1"/>
    <col min="3850" max="3850" width="14.140625" style="105" customWidth="1"/>
    <col min="3851" max="3851" width="11.5703125" style="105" customWidth="1"/>
    <col min="3852" max="3853" width="11.42578125" style="105" customWidth="1"/>
    <col min="3854" max="3854" width="0.140625" style="105" customWidth="1"/>
    <col min="3855" max="3855" width="14.140625" style="105" customWidth="1"/>
    <col min="3856" max="4098" width="9.140625" style="105"/>
    <col min="4099" max="4099" width="7.140625" style="105" customWidth="1"/>
    <col min="4100" max="4100" width="8.85546875" style="105" customWidth="1"/>
    <col min="4101" max="4101" width="30.28515625" style="105" customWidth="1"/>
    <col min="4102" max="4102" width="13.140625" style="105" bestFit="1" customWidth="1"/>
    <col min="4103" max="4103" width="14.140625" style="105" bestFit="1" customWidth="1"/>
    <col min="4104" max="4104" width="15" style="105" bestFit="1" customWidth="1"/>
    <col min="4105" max="4105" width="14.28515625" style="105" customWidth="1"/>
    <col min="4106" max="4106" width="14.140625" style="105" customWidth="1"/>
    <col min="4107" max="4107" width="11.5703125" style="105" customWidth="1"/>
    <col min="4108" max="4109" width="11.42578125" style="105" customWidth="1"/>
    <col min="4110" max="4110" width="0.140625" style="105" customWidth="1"/>
    <col min="4111" max="4111" width="14.140625" style="105" customWidth="1"/>
    <col min="4112" max="4354" width="9.140625" style="105"/>
    <col min="4355" max="4355" width="7.140625" style="105" customWidth="1"/>
    <col min="4356" max="4356" width="8.85546875" style="105" customWidth="1"/>
    <col min="4357" max="4357" width="30.28515625" style="105" customWidth="1"/>
    <col min="4358" max="4358" width="13.140625" style="105" bestFit="1" customWidth="1"/>
    <col min="4359" max="4359" width="14.140625" style="105" bestFit="1" customWidth="1"/>
    <col min="4360" max="4360" width="15" style="105" bestFit="1" customWidth="1"/>
    <col min="4361" max="4361" width="14.28515625" style="105" customWidth="1"/>
    <col min="4362" max="4362" width="14.140625" style="105" customWidth="1"/>
    <col min="4363" max="4363" width="11.5703125" style="105" customWidth="1"/>
    <col min="4364" max="4365" width="11.42578125" style="105" customWidth="1"/>
    <col min="4366" max="4366" width="0.140625" style="105" customWidth="1"/>
    <col min="4367" max="4367" width="14.140625" style="105" customWidth="1"/>
    <col min="4368" max="4610" width="9.140625" style="105"/>
    <col min="4611" max="4611" width="7.140625" style="105" customWidth="1"/>
    <col min="4612" max="4612" width="8.85546875" style="105" customWidth="1"/>
    <col min="4613" max="4613" width="30.28515625" style="105" customWidth="1"/>
    <col min="4614" max="4614" width="13.140625" style="105" bestFit="1" customWidth="1"/>
    <col min="4615" max="4615" width="14.140625" style="105" bestFit="1" customWidth="1"/>
    <col min="4616" max="4616" width="15" style="105" bestFit="1" customWidth="1"/>
    <col min="4617" max="4617" width="14.28515625" style="105" customWidth="1"/>
    <col min="4618" max="4618" width="14.140625" style="105" customWidth="1"/>
    <col min="4619" max="4619" width="11.5703125" style="105" customWidth="1"/>
    <col min="4620" max="4621" width="11.42578125" style="105" customWidth="1"/>
    <col min="4622" max="4622" width="0.140625" style="105" customWidth="1"/>
    <col min="4623" max="4623" width="14.140625" style="105" customWidth="1"/>
    <col min="4624" max="4866" width="9.140625" style="105"/>
    <col min="4867" max="4867" width="7.140625" style="105" customWidth="1"/>
    <col min="4868" max="4868" width="8.85546875" style="105" customWidth="1"/>
    <col min="4869" max="4869" width="30.28515625" style="105" customWidth="1"/>
    <col min="4870" max="4870" width="13.140625" style="105" bestFit="1" customWidth="1"/>
    <col min="4871" max="4871" width="14.140625" style="105" bestFit="1" customWidth="1"/>
    <col min="4872" max="4872" width="15" style="105" bestFit="1" customWidth="1"/>
    <col min="4873" max="4873" width="14.28515625" style="105" customWidth="1"/>
    <col min="4874" max="4874" width="14.140625" style="105" customWidth="1"/>
    <col min="4875" max="4875" width="11.5703125" style="105" customWidth="1"/>
    <col min="4876" max="4877" width="11.42578125" style="105" customWidth="1"/>
    <col min="4878" max="4878" width="0.140625" style="105" customWidth="1"/>
    <col min="4879" max="4879" width="14.140625" style="105" customWidth="1"/>
    <col min="4880" max="5122" width="9.140625" style="105"/>
    <col min="5123" max="5123" width="7.140625" style="105" customWidth="1"/>
    <col min="5124" max="5124" width="8.85546875" style="105" customWidth="1"/>
    <col min="5125" max="5125" width="30.28515625" style="105" customWidth="1"/>
    <col min="5126" max="5126" width="13.140625" style="105" bestFit="1" customWidth="1"/>
    <col min="5127" max="5127" width="14.140625" style="105" bestFit="1" customWidth="1"/>
    <col min="5128" max="5128" width="15" style="105" bestFit="1" customWidth="1"/>
    <col min="5129" max="5129" width="14.28515625" style="105" customWidth="1"/>
    <col min="5130" max="5130" width="14.140625" style="105" customWidth="1"/>
    <col min="5131" max="5131" width="11.5703125" style="105" customWidth="1"/>
    <col min="5132" max="5133" width="11.42578125" style="105" customWidth="1"/>
    <col min="5134" max="5134" width="0.140625" style="105" customWidth="1"/>
    <col min="5135" max="5135" width="14.140625" style="105" customWidth="1"/>
    <col min="5136" max="5378" width="9.140625" style="105"/>
    <col min="5379" max="5379" width="7.140625" style="105" customWidth="1"/>
    <col min="5380" max="5380" width="8.85546875" style="105" customWidth="1"/>
    <col min="5381" max="5381" width="30.28515625" style="105" customWidth="1"/>
    <col min="5382" max="5382" width="13.140625" style="105" bestFit="1" customWidth="1"/>
    <col min="5383" max="5383" width="14.140625" style="105" bestFit="1" customWidth="1"/>
    <col min="5384" max="5384" width="15" style="105" bestFit="1" customWidth="1"/>
    <col min="5385" max="5385" width="14.28515625" style="105" customWidth="1"/>
    <col min="5386" max="5386" width="14.140625" style="105" customWidth="1"/>
    <col min="5387" max="5387" width="11.5703125" style="105" customWidth="1"/>
    <col min="5388" max="5389" width="11.42578125" style="105" customWidth="1"/>
    <col min="5390" max="5390" width="0.140625" style="105" customWidth="1"/>
    <col min="5391" max="5391" width="14.140625" style="105" customWidth="1"/>
    <col min="5392" max="5634" width="9.140625" style="105"/>
    <col min="5635" max="5635" width="7.140625" style="105" customWidth="1"/>
    <col min="5636" max="5636" width="8.85546875" style="105" customWidth="1"/>
    <col min="5637" max="5637" width="30.28515625" style="105" customWidth="1"/>
    <col min="5638" max="5638" width="13.140625" style="105" bestFit="1" customWidth="1"/>
    <col min="5639" max="5639" width="14.140625" style="105" bestFit="1" customWidth="1"/>
    <col min="5640" max="5640" width="15" style="105" bestFit="1" customWidth="1"/>
    <col min="5641" max="5641" width="14.28515625" style="105" customWidth="1"/>
    <col min="5642" max="5642" width="14.140625" style="105" customWidth="1"/>
    <col min="5643" max="5643" width="11.5703125" style="105" customWidth="1"/>
    <col min="5644" max="5645" width="11.42578125" style="105" customWidth="1"/>
    <col min="5646" max="5646" width="0.140625" style="105" customWidth="1"/>
    <col min="5647" max="5647" width="14.140625" style="105" customWidth="1"/>
    <col min="5648" max="5890" width="9.140625" style="105"/>
    <col min="5891" max="5891" width="7.140625" style="105" customWidth="1"/>
    <col min="5892" max="5892" width="8.85546875" style="105" customWidth="1"/>
    <col min="5893" max="5893" width="30.28515625" style="105" customWidth="1"/>
    <col min="5894" max="5894" width="13.140625" style="105" bestFit="1" customWidth="1"/>
    <col min="5895" max="5895" width="14.140625" style="105" bestFit="1" customWidth="1"/>
    <col min="5896" max="5896" width="15" style="105" bestFit="1" customWidth="1"/>
    <col min="5897" max="5897" width="14.28515625" style="105" customWidth="1"/>
    <col min="5898" max="5898" width="14.140625" style="105" customWidth="1"/>
    <col min="5899" max="5899" width="11.5703125" style="105" customWidth="1"/>
    <col min="5900" max="5901" width="11.42578125" style="105" customWidth="1"/>
    <col min="5902" max="5902" width="0.140625" style="105" customWidth="1"/>
    <col min="5903" max="5903" width="14.140625" style="105" customWidth="1"/>
    <col min="5904" max="6146" width="9.140625" style="105"/>
    <col min="6147" max="6147" width="7.140625" style="105" customWidth="1"/>
    <col min="6148" max="6148" width="8.85546875" style="105" customWidth="1"/>
    <col min="6149" max="6149" width="30.28515625" style="105" customWidth="1"/>
    <col min="6150" max="6150" width="13.140625" style="105" bestFit="1" customWidth="1"/>
    <col min="6151" max="6151" width="14.140625" style="105" bestFit="1" customWidth="1"/>
    <col min="6152" max="6152" width="15" style="105" bestFit="1" customWidth="1"/>
    <col min="6153" max="6153" width="14.28515625" style="105" customWidth="1"/>
    <col min="6154" max="6154" width="14.140625" style="105" customWidth="1"/>
    <col min="6155" max="6155" width="11.5703125" style="105" customWidth="1"/>
    <col min="6156" max="6157" width="11.42578125" style="105" customWidth="1"/>
    <col min="6158" max="6158" width="0.140625" style="105" customWidth="1"/>
    <col min="6159" max="6159" width="14.140625" style="105" customWidth="1"/>
    <col min="6160" max="6402" width="9.140625" style="105"/>
    <col min="6403" max="6403" width="7.140625" style="105" customWidth="1"/>
    <col min="6404" max="6404" width="8.85546875" style="105" customWidth="1"/>
    <col min="6405" max="6405" width="30.28515625" style="105" customWidth="1"/>
    <col min="6406" max="6406" width="13.140625" style="105" bestFit="1" customWidth="1"/>
    <col min="6407" max="6407" width="14.140625" style="105" bestFit="1" customWidth="1"/>
    <col min="6408" max="6408" width="15" style="105" bestFit="1" customWidth="1"/>
    <col min="6409" max="6409" width="14.28515625" style="105" customWidth="1"/>
    <col min="6410" max="6410" width="14.140625" style="105" customWidth="1"/>
    <col min="6411" max="6411" width="11.5703125" style="105" customWidth="1"/>
    <col min="6412" max="6413" width="11.42578125" style="105" customWidth="1"/>
    <col min="6414" max="6414" width="0.140625" style="105" customWidth="1"/>
    <col min="6415" max="6415" width="14.140625" style="105" customWidth="1"/>
    <col min="6416" max="6658" width="9.140625" style="105"/>
    <col min="6659" max="6659" width="7.140625" style="105" customWidth="1"/>
    <col min="6660" max="6660" width="8.85546875" style="105" customWidth="1"/>
    <col min="6661" max="6661" width="30.28515625" style="105" customWidth="1"/>
    <col min="6662" max="6662" width="13.140625" style="105" bestFit="1" customWidth="1"/>
    <col min="6663" max="6663" width="14.140625" style="105" bestFit="1" customWidth="1"/>
    <col min="6664" max="6664" width="15" style="105" bestFit="1" customWidth="1"/>
    <col min="6665" max="6665" width="14.28515625" style="105" customWidth="1"/>
    <col min="6666" max="6666" width="14.140625" style="105" customWidth="1"/>
    <col min="6667" max="6667" width="11.5703125" style="105" customWidth="1"/>
    <col min="6668" max="6669" width="11.42578125" style="105" customWidth="1"/>
    <col min="6670" max="6670" width="0.140625" style="105" customWidth="1"/>
    <col min="6671" max="6671" width="14.140625" style="105" customWidth="1"/>
    <col min="6672" max="6914" width="9.140625" style="105"/>
    <col min="6915" max="6915" width="7.140625" style="105" customWidth="1"/>
    <col min="6916" max="6916" width="8.85546875" style="105" customWidth="1"/>
    <col min="6917" max="6917" width="30.28515625" style="105" customWidth="1"/>
    <col min="6918" max="6918" width="13.140625" style="105" bestFit="1" customWidth="1"/>
    <col min="6919" max="6919" width="14.140625" style="105" bestFit="1" customWidth="1"/>
    <col min="6920" max="6920" width="15" style="105" bestFit="1" customWidth="1"/>
    <col min="6921" max="6921" width="14.28515625" style="105" customWidth="1"/>
    <col min="6922" max="6922" width="14.140625" style="105" customWidth="1"/>
    <col min="6923" max="6923" width="11.5703125" style="105" customWidth="1"/>
    <col min="6924" max="6925" width="11.42578125" style="105" customWidth="1"/>
    <col min="6926" max="6926" width="0.140625" style="105" customWidth="1"/>
    <col min="6927" max="6927" width="14.140625" style="105" customWidth="1"/>
    <col min="6928" max="7170" width="9.140625" style="105"/>
    <col min="7171" max="7171" width="7.140625" style="105" customWidth="1"/>
    <col min="7172" max="7172" width="8.85546875" style="105" customWidth="1"/>
    <col min="7173" max="7173" width="30.28515625" style="105" customWidth="1"/>
    <col min="7174" max="7174" width="13.140625" style="105" bestFit="1" customWidth="1"/>
    <col min="7175" max="7175" width="14.140625" style="105" bestFit="1" customWidth="1"/>
    <col min="7176" max="7176" width="15" style="105" bestFit="1" customWidth="1"/>
    <col min="7177" max="7177" width="14.28515625" style="105" customWidth="1"/>
    <col min="7178" max="7178" width="14.140625" style="105" customWidth="1"/>
    <col min="7179" max="7179" width="11.5703125" style="105" customWidth="1"/>
    <col min="7180" max="7181" width="11.42578125" style="105" customWidth="1"/>
    <col min="7182" max="7182" width="0.140625" style="105" customWidth="1"/>
    <col min="7183" max="7183" width="14.140625" style="105" customWidth="1"/>
    <col min="7184" max="7426" width="9.140625" style="105"/>
    <col min="7427" max="7427" width="7.140625" style="105" customWidth="1"/>
    <col min="7428" max="7428" width="8.85546875" style="105" customWidth="1"/>
    <col min="7429" max="7429" width="30.28515625" style="105" customWidth="1"/>
    <col min="7430" max="7430" width="13.140625" style="105" bestFit="1" customWidth="1"/>
    <col min="7431" max="7431" width="14.140625" style="105" bestFit="1" customWidth="1"/>
    <col min="7432" max="7432" width="15" style="105" bestFit="1" customWidth="1"/>
    <col min="7433" max="7433" width="14.28515625" style="105" customWidth="1"/>
    <col min="7434" max="7434" width="14.140625" style="105" customWidth="1"/>
    <col min="7435" max="7435" width="11.5703125" style="105" customWidth="1"/>
    <col min="7436" max="7437" width="11.42578125" style="105" customWidth="1"/>
    <col min="7438" max="7438" width="0.140625" style="105" customWidth="1"/>
    <col min="7439" max="7439" width="14.140625" style="105" customWidth="1"/>
    <col min="7440" max="7682" width="9.140625" style="105"/>
    <col min="7683" max="7683" width="7.140625" style="105" customWidth="1"/>
    <col min="7684" max="7684" width="8.85546875" style="105" customWidth="1"/>
    <col min="7685" max="7685" width="30.28515625" style="105" customWidth="1"/>
    <col min="7686" max="7686" width="13.140625" style="105" bestFit="1" customWidth="1"/>
    <col min="7687" max="7687" width="14.140625" style="105" bestFit="1" customWidth="1"/>
    <col min="7688" max="7688" width="15" style="105" bestFit="1" customWidth="1"/>
    <col min="7689" max="7689" width="14.28515625" style="105" customWidth="1"/>
    <col min="7690" max="7690" width="14.140625" style="105" customWidth="1"/>
    <col min="7691" max="7691" width="11.5703125" style="105" customWidth="1"/>
    <col min="7692" max="7693" width="11.42578125" style="105" customWidth="1"/>
    <col min="7694" max="7694" width="0.140625" style="105" customWidth="1"/>
    <col min="7695" max="7695" width="14.140625" style="105" customWidth="1"/>
    <col min="7696" max="7938" width="9.140625" style="105"/>
    <col min="7939" max="7939" width="7.140625" style="105" customWidth="1"/>
    <col min="7940" max="7940" width="8.85546875" style="105" customWidth="1"/>
    <col min="7941" max="7941" width="30.28515625" style="105" customWidth="1"/>
    <col min="7942" max="7942" width="13.140625" style="105" bestFit="1" customWidth="1"/>
    <col min="7943" max="7943" width="14.140625" style="105" bestFit="1" customWidth="1"/>
    <col min="7944" max="7944" width="15" style="105" bestFit="1" customWidth="1"/>
    <col min="7945" max="7945" width="14.28515625" style="105" customWidth="1"/>
    <col min="7946" max="7946" width="14.140625" style="105" customWidth="1"/>
    <col min="7947" max="7947" width="11.5703125" style="105" customWidth="1"/>
    <col min="7948" max="7949" width="11.42578125" style="105" customWidth="1"/>
    <col min="7950" max="7950" width="0.140625" style="105" customWidth="1"/>
    <col min="7951" max="7951" width="14.140625" style="105" customWidth="1"/>
    <col min="7952" max="8194" width="9.140625" style="105"/>
    <col min="8195" max="8195" width="7.140625" style="105" customWidth="1"/>
    <col min="8196" max="8196" width="8.85546875" style="105" customWidth="1"/>
    <col min="8197" max="8197" width="30.28515625" style="105" customWidth="1"/>
    <col min="8198" max="8198" width="13.140625" style="105" bestFit="1" customWidth="1"/>
    <col min="8199" max="8199" width="14.140625" style="105" bestFit="1" customWidth="1"/>
    <col min="8200" max="8200" width="15" style="105" bestFit="1" customWidth="1"/>
    <col min="8201" max="8201" width="14.28515625" style="105" customWidth="1"/>
    <col min="8202" max="8202" width="14.140625" style="105" customWidth="1"/>
    <col min="8203" max="8203" width="11.5703125" style="105" customWidth="1"/>
    <col min="8204" max="8205" width="11.42578125" style="105" customWidth="1"/>
    <col min="8206" max="8206" width="0.140625" style="105" customWidth="1"/>
    <col min="8207" max="8207" width="14.140625" style="105" customWidth="1"/>
    <col min="8208" max="8450" width="9.140625" style="105"/>
    <col min="8451" max="8451" width="7.140625" style="105" customWidth="1"/>
    <col min="8452" max="8452" width="8.85546875" style="105" customWidth="1"/>
    <col min="8453" max="8453" width="30.28515625" style="105" customWidth="1"/>
    <col min="8454" max="8454" width="13.140625" style="105" bestFit="1" customWidth="1"/>
    <col min="8455" max="8455" width="14.140625" style="105" bestFit="1" customWidth="1"/>
    <col min="8456" max="8456" width="15" style="105" bestFit="1" customWidth="1"/>
    <col min="8457" max="8457" width="14.28515625" style="105" customWidth="1"/>
    <col min="8458" max="8458" width="14.140625" style="105" customWidth="1"/>
    <col min="8459" max="8459" width="11.5703125" style="105" customWidth="1"/>
    <col min="8460" max="8461" width="11.42578125" style="105" customWidth="1"/>
    <col min="8462" max="8462" width="0.140625" style="105" customWidth="1"/>
    <col min="8463" max="8463" width="14.140625" style="105" customWidth="1"/>
    <col min="8464" max="8706" width="9.140625" style="105"/>
    <col min="8707" max="8707" width="7.140625" style="105" customWidth="1"/>
    <col min="8708" max="8708" width="8.85546875" style="105" customWidth="1"/>
    <col min="8709" max="8709" width="30.28515625" style="105" customWidth="1"/>
    <col min="8710" max="8710" width="13.140625" style="105" bestFit="1" customWidth="1"/>
    <col min="8711" max="8711" width="14.140625" style="105" bestFit="1" customWidth="1"/>
    <col min="8712" max="8712" width="15" style="105" bestFit="1" customWidth="1"/>
    <col min="8713" max="8713" width="14.28515625" style="105" customWidth="1"/>
    <col min="8714" max="8714" width="14.140625" style="105" customWidth="1"/>
    <col min="8715" max="8715" width="11.5703125" style="105" customWidth="1"/>
    <col min="8716" max="8717" width="11.42578125" style="105" customWidth="1"/>
    <col min="8718" max="8718" width="0.140625" style="105" customWidth="1"/>
    <col min="8719" max="8719" width="14.140625" style="105" customWidth="1"/>
    <col min="8720" max="8962" width="9.140625" style="105"/>
    <col min="8963" max="8963" width="7.140625" style="105" customWidth="1"/>
    <col min="8964" max="8964" width="8.85546875" style="105" customWidth="1"/>
    <col min="8965" max="8965" width="30.28515625" style="105" customWidth="1"/>
    <col min="8966" max="8966" width="13.140625" style="105" bestFit="1" customWidth="1"/>
    <col min="8967" max="8967" width="14.140625" style="105" bestFit="1" customWidth="1"/>
    <col min="8968" max="8968" width="15" style="105" bestFit="1" customWidth="1"/>
    <col min="8969" max="8969" width="14.28515625" style="105" customWidth="1"/>
    <col min="8970" max="8970" width="14.140625" style="105" customWidth="1"/>
    <col min="8971" max="8971" width="11.5703125" style="105" customWidth="1"/>
    <col min="8972" max="8973" width="11.42578125" style="105" customWidth="1"/>
    <col min="8974" max="8974" width="0.140625" style="105" customWidth="1"/>
    <col min="8975" max="8975" width="14.140625" style="105" customWidth="1"/>
    <col min="8976" max="9218" width="9.140625" style="105"/>
    <col min="9219" max="9219" width="7.140625" style="105" customWidth="1"/>
    <col min="9220" max="9220" width="8.85546875" style="105" customWidth="1"/>
    <col min="9221" max="9221" width="30.28515625" style="105" customWidth="1"/>
    <col min="9222" max="9222" width="13.140625" style="105" bestFit="1" customWidth="1"/>
    <col min="9223" max="9223" width="14.140625" style="105" bestFit="1" customWidth="1"/>
    <col min="9224" max="9224" width="15" style="105" bestFit="1" customWidth="1"/>
    <col min="9225" max="9225" width="14.28515625" style="105" customWidth="1"/>
    <col min="9226" max="9226" width="14.140625" style="105" customWidth="1"/>
    <col min="9227" max="9227" width="11.5703125" style="105" customWidth="1"/>
    <col min="9228" max="9229" width="11.42578125" style="105" customWidth="1"/>
    <col min="9230" max="9230" width="0.140625" style="105" customWidth="1"/>
    <col min="9231" max="9231" width="14.140625" style="105" customWidth="1"/>
    <col min="9232" max="9474" width="9.140625" style="105"/>
    <col min="9475" max="9475" width="7.140625" style="105" customWidth="1"/>
    <col min="9476" max="9476" width="8.85546875" style="105" customWidth="1"/>
    <col min="9477" max="9477" width="30.28515625" style="105" customWidth="1"/>
    <col min="9478" max="9478" width="13.140625" style="105" bestFit="1" customWidth="1"/>
    <col min="9479" max="9479" width="14.140625" style="105" bestFit="1" customWidth="1"/>
    <col min="9480" max="9480" width="15" style="105" bestFit="1" customWidth="1"/>
    <col min="9481" max="9481" width="14.28515625" style="105" customWidth="1"/>
    <col min="9482" max="9482" width="14.140625" style="105" customWidth="1"/>
    <col min="9483" max="9483" width="11.5703125" style="105" customWidth="1"/>
    <col min="9484" max="9485" width="11.42578125" style="105" customWidth="1"/>
    <col min="9486" max="9486" width="0.140625" style="105" customWidth="1"/>
    <col min="9487" max="9487" width="14.140625" style="105" customWidth="1"/>
    <col min="9488" max="9730" width="9.140625" style="105"/>
    <col min="9731" max="9731" width="7.140625" style="105" customWidth="1"/>
    <col min="9732" max="9732" width="8.85546875" style="105" customWidth="1"/>
    <col min="9733" max="9733" width="30.28515625" style="105" customWidth="1"/>
    <col min="9734" max="9734" width="13.140625" style="105" bestFit="1" customWidth="1"/>
    <col min="9735" max="9735" width="14.140625" style="105" bestFit="1" customWidth="1"/>
    <col min="9736" max="9736" width="15" style="105" bestFit="1" customWidth="1"/>
    <col min="9737" max="9737" width="14.28515625" style="105" customWidth="1"/>
    <col min="9738" max="9738" width="14.140625" style="105" customWidth="1"/>
    <col min="9739" max="9739" width="11.5703125" style="105" customWidth="1"/>
    <col min="9740" max="9741" width="11.42578125" style="105" customWidth="1"/>
    <col min="9742" max="9742" width="0.140625" style="105" customWidth="1"/>
    <col min="9743" max="9743" width="14.140625" style="105" customWidth="1"/>
    <col min="9744" max="9986" width="9.140625" style="105"/>
    <col min="9987" max="9987" width="7.140625" style="105" customWidth="1"/>
    <col min="9988" max="9988" width="8.85546875" style="105" customWidth="1"/>
    <col min="9989" max="9989" width="30.28515625" style="105" customWidth="1"/>
    <col min="9990" max="9990" width="13.140625" style="105" bestFit="1" customWidth="1"/>
    <col min="9991" max="9991" width="14.140625" style="105" bestFit="1" customWidth="1"/>
    <col min="9992" max="9992" width="15" style="105" bestFit="1" customWidth="1"/>
    <col min="9993" max="9993" width="14.28515625" style="105" customWidth="1"/>
    <col min="9994" max="9994" width="14.140625" style="105" customWidth="1"/>
    <col min="9995" max="9995" width="11.5703125" style="105" customWidth="1"/>
    <col min="9996" max="9997" width="11.42578125" style="105" customWidth="1"/>
    <col min="9998" max="9998" width="0.140625" style="105" customWidth="1"/>
    <col min="9999" max="9999" width="14.140625" style="105" customWidth="1"/>
    <col min="10000" max="10242" width="9.140625" style="105"/>
    <col min="10243" max="10243" width="7.140625" style="105" customWidth="1"/>
    <col min="10244" max="10244" width="8.85546875" style="105" customWidth="1"/>
    <col min="10245" max="10245" width="30.28515625" style="105" customWidth="1"/>
    <col min="10246" max="10246" width="13.140625" style="105" bestFit="1" customWidth="1"/>
    <col min="10247" max="10247" width="14.140625" style="105" bestFit="1" customWidth="1"/>
    <col min="10248" max="10248" width="15" style="105" bestFit="1" customWidth="1"/>
    <col min="10249" max="10249" width="14.28515625" style="105" customWidth="1"/>
    <col min="10250" max="10250" width="14.140625" style="105" customWidth="1"/>
    <col min="10251" max="10251" width="11.5703125" style="105" customWidth="1"/>
    <col min="10252" max="10253" width="11.42578125" style="105" customWidth="1"/>
    <col min="10254" max="10254" width="0.140625" style="105" customWidth="1"/>
    <col min="10255" max="10255" width="14.140625" style="105" customWidth="1"/>
    <col min="10256" max="10498" width="9.140625" style="105"/>
    <col min="10499" max="10499" width="7.140625" style="105" customWidth="1"/>
    <col min="10500" max="10500" width="8.85546875" style="105" customWidth="1"/>
    <col min="10501" max="10501" width="30.28515625" style="105" customWidth="1"/>
    <col min="10502" max="10502" width="13.140625" style="105" bestFit="1" customWidth="1"/>
    <col min="10503" max="10503" width="14.140625" style="105" bestFit="1" customWidth="1"/>
    <col min="10504" max="10504" width="15" style="105" bestFit="1" customWidth="1"/>
    <col min="10505" max="10505" width="14.28515625" style="105" customWidth="1"/>
    <col min="10506" max="10506" width="14.140625" style="105" customWidth="1"/>
    <col min="10507" max="10507" width="11.5703125" style="105" customWidth="1"/>
    <col min="10508" max="10509" width="11.42578125" style="105" customWidth="1"/>
    <col min="10510" max="10510" width="0.140625" style="105" customWidth="1"/>
    <col min="10511" max="10511" width="14.140625" style="105" customWidth="1"/>
    <col min="10512" max="10754" width="9.140625" style="105"/>
    <col min="10755" max="10755" width="7.140625" style="105" customWidth="1"/>
    <col min="10756" max="10756" width="8.85546875" style="105" customWidth="1"/>
    <col min="10757" max="10757" width="30.28515625" style="105" customWidth="1"/>
    <col min="10758" max="10758" width="13.140625" style="105" bestFit="1" customWidth="1"/>
    <col min="10759" max="10759" width="14.140625" style="105" bestFit="1" customWidth="1"/>
    <col min="10760" max="10760" width="15" style="105" bestFit="1" customWidth="1"/>
    <col min="10761" max="10761" width="14.28515625" style="105" customWidth="1"/>
    <col min="10762" max="10762" width="14.140625" style="105" customWidth="1"/>
    <col min="10763" max="10763" width="11.5703125" style="105" customWidth="1"/>
    <col min="10764" max="10765" width="11.42578125" style="105" customWidth="1"/>
    <col min="10766" max="10766" width="0.140625" style="105" customWidth="1"/>
    <col min="10767" max="10767" width="14.140625" style="105" customWidth="1"/>
    <col min="10768" max="11010" width="9.140625" style="105"/>
    <col min="11011" max="11011" width="7.140625" style="105" customWidth="1"/>
    <col min="11012" max="11012" width="8.85546875" style="105" customWidth="1"/>
    <col min="11013" max="11013" width="30.28515625" style="105" customWidth="1"/>
    <col min="11014" max="11014" width="13.140625" style="105" bestFit="1" customWidth="1"/>
    <col min="11015" max="11015" width="14.140625" style="105" bestFit="1" customWidth="1"/>
    <col min="11016" max="11016" width="15" style="105" bestFit="1" customWidth="1"/>
    <col min="11017" max="11017" width="14.28515625" style="105" customWidth="1"/>
    <col min="11018" max="11018" width="14.140625" style="105" customWidth="1"/>
    <col min="11019" max="11019" width="11.5703125" style="105" customWidth="1"/>
    <col min="11020" max="11021" width="11.42578125" style="105" customWidth="1"/>
    <col min="11022" max="11022" width="0.140625" style="105" customWidth="1"/>
    <col min="11023" max="11023" width="14.140625" style="105" customWidth="1"/>
    <col min="11024" max="11266" width="9.140625" style="105"/>
    <col min="11267" max="11267" width="7.140625" style="105" customWidth="1"/>
    <col min="11268" max="11268" width="8.85546875" style="105" customWidth="1"/>
    <col min="11269" max="11269" width="30.28515625" style="105" customWidth="1"/>
    <col min="11270" max="11270" width="13.140625" style="105" bestFit="1" customWidth="1"/>
    <col min="11271" max="11271" width="14.140625" style="105" bestFit="1" customWidth="1"/>
    <col min="11272" max="11272" width="15" style="105" bestFit="1" customWidth="1"/>
    <col min="11273" max="11273" width="14.28515625" style="105" customWidth="1"/>
    <col min="11274" max="11274" width="14.140625" style="105" customWidth="1"/>
    <col min="11275" max="11275" width="11.5703125" style="105" customWidth="1"/>
    <col min="11276" max="11277" width="11.42578125" style="105" customWidth="1"/>
    <col min="11278" max="11278" width="0.140625" style="105" customWidth="1"/>
    <col min="11279" max="11279" width="14.140625" style="105" customWidth="1"/>
    <col min="11280" max="11522" width="9.140625" style="105"/>
    <col min="11523" max="11523" width="7.140625" style="105" customWidth="1"/>
    <col min="11524" max="11524" width="8.85546875" style="105" customWidth="1"/>
    <col min="11525" max="11525" width="30.28515625" style="105" customWidth="1"/>
    <col min="11526" max="11526" width="13.140625" style="105" bestFit="1" customWidth="1"/>
    <col min="11527" max="11527" width="14.140625" style="105" bestFit="1" customWidth="1"/>
    <col min="11528" max="11528" width="15" style="105" bestFit="1" customWidth="1"/>
    <col min="11529" max="11529" width="14.28515625" style="105" customWidth="1"/>
    <col min="11530" max="11530" width="14.140625" style="105" customWidth="1"/>
    <col min="11531" max="11531" width="11.5703125" style="105" customWidth="1"/>
    <col min="11532" max="11533" width="11.42578125" style="105" customWidth="1"/>
    <col min="11534" max="11534" width="0.140625" style="105" customWidth="1"/>
    <col min="11535" max="11535" width="14.140625" style="105" customWidth="1"/>
    <col min="11536" max="11778" width="9.140625" style="105"/>
    <col min="11779" max="11779" width="7.140625" style="105" customWidth="1"/>
    <col min="11780" max="11780" width="8.85546875" style="105" customWidth="1"/>
    <col min="11781" max="11781" width="30.28515625" style="105" customWidth="1"/>
    <col min="11782" max="11782" width="13.140625" style="105" bestFit="1" customWidth="1"/>
    <col min="11783" max="11783" width="14.140625" style="105" bestFit="1" customWidth="1"/>
    <col min="11784" max="11784" width="15" style="105" bestFit="1" customWidth="1"/>
    <col min="11785" max="11785" width="14.28515625" style="105" customWidth="1"/>
    <col min="11786" max="11786" width="14.140625" style="105" customWidth="1"/>
    <col min="11787" max="11787" width="11.5703125" style="105" customWidth="1"/>
    <col min="11788" max="11789" width="11.42578125" style="105" customWidth="1"/>
    <col min="11790" max="11790" width="0.140625" style="105" customWidth="1"/>
    <col min="11791" max="11791" width="14.140625" style="105" customWidth="1"/>
    <col min="11792" max="12034" width="9.140625" style="105"/>
    <col min="12035" max="12035" width="7.140625" style="105" customWidth="1"/>
    <col min="12036" max="12036" width="8.85546875" style="105" customWidth="1"/>
    <col min="12037" max="12037" width="30.28515625" style="105" customWidth="1"/>
    <col min="12038" max="12038" width="13.140625" style="105" bestFit="1" customWidth="1"/>
    <col min="12039" max="12039" width="14.140625" style="105" bestFit="1" customWidth="1"/>
    <col min="12040" max="12040" width="15" style="105" bestFit="1" customWidth="1"/>
    <col min="12041" max="12041" width="14.28515625" style="105" customWidth="1"/>
    <col min="12042" max="12042" width="14.140625" style="105" customWidth="1"/>
    <col min="12043" max="12043" width="11.5703125" style="105" customWidth="1"/>
    <col min="12044" max="12045" width="11.42578125" style="105" customWidth="1"/>
    <col min="12046" max="12046" width="0.140625" style="105" customWidth="1"/>
    <col min="12047" max="12047" width="14.140625" style="105" customWidth="1"/>
    <col min="12048" max="12290" width="9.140625" style="105"/>
    <col min="12291" max="12291" width="7.140625" style="105" customWidth="1"/>
    <col min="12292" max="12292" width="8.85546875" style="105" customWidth="1"/>
    <col min="12293" max="12293" width="30.28515625" style="105" customWidth="1"/>
    <col min="12294" max="12294" width="13.140625" style="105" bestFit="1" customWidth="1"/>
    <col min="12295" max="12295" width="14.140625" style="105" bestFit="1" customWidth="1"/>
    <col min="12296" max="12296" width="15" style="105" bestFit="1" customWidth="1"/>
    <col min="12297" max="12297" width="14.28515625" style="105" customWidth="1"/>
    <col min="12298" max="12298" width="14.140625" style="105" customWidth="1"/>
    <col min="12299" max="12299" width="11.5703125" style="105" customWidth="1"/>
    <col min="12300" max="12301" width="11.42578125" style="105" customWidth="1"/>
    <col min="12302" max="12302" width="0.140625" style="105" customWidth="1"/>
    <col min="12303" max="12303" width="14.140625" style="105" customWidth="1"/>
    <col min="12304" max="12546" width="9.140625" style="105"/>
    <col min="12547" max="12547" width="7.140625" style="105" customWidth="1"/>
    <col min="12548" max="12548" width="8.85546875" style="105" customWidth="1"/>
    <col min="12549" max="12549" width="30.28515625" style="105" customWidth="1"/>
    <col min="12550" max="12550" width="13.140625" style="105" bestFit="1" customWidth="1"/>
    <col min="12551" max="12551" width="14.140625" style="105" bestFit="1" customWidth="1"/>
    <col min="12552" max="12552" width="15" style="105" bestFit="1" customWidth="1"/>
    <col min="12553" max="12553" width="14.28515625" style="105" customWidth="1"/>
    <col min="12554" max="12554" width="14.140625" style="105" customWidth="1"/>
    <col min="12555" max="12555" width="11.5703125" style="105" customWidth="1"/>
    <col min="12556" max="12557" width="11.42578125" style="105" customWidth="1"/>
    <col min="12558" max="12558" width="0.140625" style="105" customWidth="1"/>
    <col min="12559" max="12559" width="14.140625" style="105" customWidth="1"/>
    <col min="12560" max="12802" width="9.140625" style="105"/>
    <col min="12803" max="12803" width="7.140625" style="105" customWidth="1"/>
    <col min="12804" max="12804" width="8.85546875" style="105" customWidth="1"/>
    <col min="12805" max="12805" width="30.28515625" style="105" customWidth="1"/>
    <col min="12806" max="12806" width="13.140625" style="105" bestFit="1" customWidth="1"/>
    <col min="12807" max="12807" width="14.140625" style="105" bestFit="1" customWidth="1"/>
    <col min="12808" max="12808" width="15" style="105" bestFit="1" customWidth="1"/>
    <col min="12809" max="12809" width="14.28515625" style="105" customWidth="1"/>
    <col min="12810" max="12810" width="14.140625" style="105" customWidth="1"/>
    <col min="12811" max="12811" width="11.5703125" style="105" customWidth="1"/>
    <col min="12812" max="12813" width="11.42578125" style="105" customWidth="1"/>
    <col min="12814" max="12814" width="0.140625" style="105" customWidth="1"/>
    <col min="12815" max="12815" width="14.140625" style="105" customWidth="1"/>
    <col min="12816" max="13058" width="9.140625" style="105"/>
    <col min="13059" max="13059" width="7.140625" style="105" customWidth="1"/>
    <col min="13060" max="13060" width="8.85546875" style="105" customWidth="1"/>
    <col min="13061" max="13061" width="30.28515625" style="105" customWidth="1"/>
    <col min="13062" max="13062" width="13.140625" style="105" bestFit="1" customWidth="1"/>
    <col min="13063" max="13063" width="14.140625" style="105" bestFit="1" customWidth="1"/>
    <col min="13064" max="13064" width="15" style="105" bestFit="1" customWidth="1"/>
    <col min="13065" max="13065" width="14.28515625" style="105" customWidth="1"/>
    <col min="13066" max="13066" width="14.140625" style="105" customWidth="1"/>
    <col min="13067" max="13067" width="11.5703125" style="105" customWidth="1"/>
    <col min="13068" max="13069" width="11.42578125" style="105" customWidth="1"/>
    <col min="13070" max="13070" width="0.140625" style="105" customWidth="1"/>
    <col min="13071" max="13071" width="14.140625" style="105" customWidth="1"/>
    <col min="13072" max="13314" width="9.140625" style="105"/>
    <col min="13315" max="13315" width="7.140625" style="105" customWidth="1"/>
    <col min="13316" max="13316" width="8.85546875" style="105" customWidth="1"/>
    <col min="13317" max="13317" width="30.28515625" style="105" customWidth="1"/>
    <col min="13318" max="13318" width="13.140625" style="105" bestFit="1" customWidth="1"/>
    <col min="13319" max="13319" width="14.140625" style="105" bestFit="1" customWidth="1"/>
    <col min="13320" max="13320" width="15" style="105" bestFit="1" customWidth="1"/>
    <col min="13321" max="13321" width="14.28515625" style="105" customWidth="1"/>
    <col min="13322" max="13322" width="14.140625" style="105" customWidth="1"/>
    <col min="13323" max="13323" width="11.5703125" style="105" customWidth="1"/>
    <col min="13324" max="13325" width="11.42578125" style="105" customWidth="1"/>
    <col min="13326" max="13326" width="0.140625" style="105" customWidth="1"/>
    <col min="13327" max="13327" width="14.140625" style="105" customWidth="1"/>
    <col min="13328" max="13570" width="9.140625" style="105"/>
    <col min="13571" max="13571" width="7.140625" style="105" customWidth="1"/>
    <col min="13572" max="13572" width="8.85546875" style="105" customWidth="1"/>
    <col min="13573" max="13573" width="30.28515625" style="105" customWidth="1"/>
    <col min="13574" max="13574" width="13.140625" style="105" bestFit="1" customWidth="1"/>
    <col min="13575" max="13575" width="14.140625" style="105" bestFit="1" customWidth="1"/>
    <col min="13576" max="13576" width="15" style="105" bestFit="1" customWidth="1"/>
    <col min="13577" max="13577" width="14.28515625" style="105" customWidth="1"/>
    <col min="13578" max="13578" width="14.140625" style="105" customWidth="1"/>
    <col min="13579" max="13579" width="11.5703125" style="105" customWidth="1"/>
    <col min="13580" max="13581" width="11.42578125" style="105" customWidth="1"/>
    <col min="13582" max="13582" width="0.140625" style="105" customWidth="1"/>
    <col min="13583" max="13583" width="14.140625" style="105" customWidth="1"/>
    <col min="13584" max="13826" width="9.140625" style="105"/>
    <col min="13827" max="13827" width="7.140625" style="105" customWidth="1"/>
    <col min="13828" max="13828" width="8.85546875" style="105" customWidth="1"/>
    <col min="13829" max="13829" width="30.28515625" style="105" customWidth="1"/>
    <col min="13830" max="13830" width="13.140625" style="105" bestFit="1" customWidth="1"/>
    <col min="13831" max="13831" width="14.140625" style="105" bestFit="1" customWidth="1"/>
    <col min="13832" max="13832" width="15" style="105" bestFit="1" customWidth="1"/>
    <col min="13833" max="13833" width="14.28515625" style="105" customWidth="1"/>
    <col min="13834" max="13834" width="14.140625" style="105" customWidth="1"/>
    <col min="13835" max="13835" width="11.5703125" style="105" customWidth="1"/>
    <col min="13836" max="13837" width="11.42578125" style="105" customWidth="1"/>
    <col min="13838" max="13838" width="0.140625" style="105" customWidth="1"/>
    <col min="13839" max="13839" width="14.140625" style="105" customWidth="1"/>
    <col min="13840" max="14082" width="9.140625" style="105"/>
    <col min="14083" max="14083" width="7.140625" style="105" customWidth="1"/>
    <col min="14084" max="14084" width="8.85546875" style="105" customWidth="1"/>
    <col min="14085" max="14085" width="30.28515625" style="105" customWidth="1"/>
    <col min="14086" max="14086" width="13.140625" style="105" bestFit="1" customWidth="1"/>
    <col min="14087" max="14087" width="14.140625" style="105" bestFit="1" customWidth="1"/>
    <col min="14088" max="14088" width="15" style="105" bestFit="1" customWidth="1"/>
    <col min="14089" max="14089" width="14.28515625" style="105" customWidth="1"/>
    <col min="14090" max="14090" width="14.140625" style="105" customWidth="1"/>
    <col min="14091" max="14091" width="11.5703125" style="105" customWidth="1"/>
    <col min="14092" max="14093" width="11.42578125" style="105" customWidth="1"/>
    <col min="14094" max="14094" width="0.140625" style="105" customWidth="1"/>
    <col min="14095" max="14095" width="14.140625" style="105" customWidth="1"/>
    <col min="14096" max="14338" width="9.140625" style="105"/>
    <col min="14339" max="14339" width="7.140625" style="105" customWidth="1"/>
    <col min="14340" max="14340" width="8.85546875" style="105" customWidth="1"/>
    <col min="14341" max="14341" width="30.28515625" style="105" customWidth="1"/>
    <col min="14342" max="14342" width="13.140625" style="105" bestFit="1" customWidth="1"/>
    <col min="14343" max="14343" width="14.140625" style="105" bestFit="1" customWidth="1"/>
    <col min="14344" max="14344" width="15" style="105" bestFit="1" customWidth="1"/>
    <col min="14345" max="14345" width="14.28515625" style="105" customWidth="1"/>
    <col min="14346" max="14346" width="14.140625" style="105" customWidth="1"/>
    <col min="14347" max="14347" width="11.5703125" style="105" customWidth="1"/>
    <col min="14348" max="14349" width="11.42578125" style="105" customWidth="1"/>
    <col min="14350" max="14350" width="0.140625" style="105" customWidth="1"/>
    <col min="14351" max="14351" width="14.140625" style="105" customWidth="1"/>
    <col min="14352" max="14594" width="9.140625" style="105"/>
    <col min="14595" max="14595" width="7.140625" style="105" customWidth="1"/>
    <col min="14596" max="14596" width="8.85546875" style="105" customWidth="1"/>
    <col min="14597" max="14597" width="30.28515625" style="105" customWidth="1"/>
    <col min="14598" max="14598" width="13.140625" style="105" bestFit="1" customWidth="1"/>
    <col min="14599" max="14599" width="14.140625" style="105" bestFit="1" customWidth="1"/>
    <col min="14600" max="14600" width="15" style="105" bestFit="1" customWidth="1"/>
    <col min="14601" max="14601" width="14.28515625" style="105" customWidth="1"/>
    <col min="14602" max="14602" width="14.140625" style="105" customWidth="1"/>
    <col min="14603" max="14603" width="11.5703125" style="105" customWidth="1"/>
    <col min="14604" max="14605" width="11.42578125" style="105" customWidth="1"/>
    <col min="14606" max="14606" width="0.140625" style="105" customWidth="1"/>
    <col min="14607" max="14607" width="14.140625" style="105" customWidth="1"/>
    <col min="14608" max="14850" width="9.140625" style="105"/>
    <col min="14851" max="14851" width="7.140625" style="105" customWidth="1"/>
    <col min="14852" max="14852" width="8.85546875" style="105" customWidth="1"/>
    <col min="14853" max="14853" width="30.28515625" style="105" customWidth="1"/>
    <col min="14854" max="14854" width="13.140625" style="105" bestFit="1" customWidth="1"/>
    <col min="14855" max="14855" width="14.140625" style="105" bestFit="1" customWidth="1"/>
    <col min="14856" max="14856" width="15" style="105" bestFit="1" customWidth="1"/>
    <col min="14857" max="14857" width="14.28515625" style="105" customWidth="1"/>
    <col min="14858" max="14858" width="14.140625" style="105" customWidth="1"/>
    <col min="14859" max="14859" width="11.5703125" style="105" customWidth="1"/>
    <col min="14860" max="14861" width="11.42578125" style="105" customWidth="1"/>
    <col min="14862" max="14862" width="0.140625" style="105" customWidth="1"/>
    <col min="14863" max="14863" width="14.140625" style="105" customWidth="1"/>
    <col min="14864" max="15106" width="9.140625" style="105"/>
    <col min="15107" max="15107" width="7.140625" style="105" customWidth="1"/>
    <col min="15108" max="15108" width="8.85546875" style="105" customWidth="1"/>
    <col min="15109" max="15109" width="30.28515625" style="105" customWidth="1"/>
    <col min="15110" max="15110" width="13.140625" style="105" bestFit="1" customWidth="1"/>
    <col min="15111" max="15111" width="14.140625" style="105" bestFit="1" customWidth="1"/>
    <col min="15112" max="15112" width="15" style="105" bestFit="1" customWidth="1"/>
    <col min="15113" max="15113" width="14.28515625" style="105" customWidth="1"/>
    <col min="15114" max="15114" width="14.140625" style="105" customWidth="1"/>
    <col min="15115" max="15115" width="11.5703125" style="105" customWidth="1"/>
    <col min="15116" max="15117" width="11.42578125" style="105" customWidth="1"/>
    <col min="15118" max="15118" width="0.140625" style="105" customWidth="1"/>
    <col min="15119" max="15119" width="14.140625" style="105" customWidth="1"/>
    <col min="15120" max="15362" width="9.140625" style="105"/>
    <col min="15363" max="15363" width="7.140625" style="105" customWidth="1"/>
    <col min="15364" max="15364" width="8.85546875" style="105" customWidth="1"/>
    <col min="15365" max="15365" width="30.28515625" style="105" customWidth="1"/>
    <col min="15366" max="15366" width="13.140625" style="105" bestFit="1" customWidth="1"/>
    <col min="15367" max="15367" width="14.140625" style="105" bestFit="1" customWidth="1"/>
    <col min="15368" max="15368" width="15" style="105" bestFit="1" customWidth="1"/>
    <col min="15369" max="15369" width="14.28515625" style="105" customWidth="1"/>
    <col min="15370" max="15370" width="14.140625" style="105" customWidth="1"/>
    <col min="15371" max="15371" width="11.5703125" style="105" customWidth="1"/>
    <col min="15372" max="15373" width="11.42578125" style="105" customWidth="1"/>
    <col min="15374" max="15374" width="0.140625" style="105" customWidth="1"/>
    <col min="15375" max="15375" width="14.140625" style="105" customWidth="1"/>
    <col min="15376" max="15618" width="9.140625" style="105"/>
    <col min="15619" max="15619" width="7.140625" style="105" customWidth="1"/>
    <col min="15620" max="15620" width="8.85546875" style="105" customWidth="1"/>
    <col min="15621" max="15621" width="30.28515625" style="105" customWidth="1"/>
    <col min="15622" max="15622" width="13.140625" style="105" bestFit="1" customWidth="1"/>
    <col min="15623" max="15623" width="14.140625" style="105" bestFit="1" customWidth="1"/>
    <col min="15624" max="15624" width="15" style="105" bestFit="1" customWidth="1"/>
    <col min="15625" max="15625" width="14.28515625" style="105" customWidth="1"/>
    <col min="15626" max="15626" width="14.140625" style="105" customWidth="1"/>
    <col min="15627" max="15627" width="11.5703125" style="105" customWidth="1"/>
    <col min="15628" max="15629" width="11.42578125" style="105" customWidth="1"/>
    <col min="15630" max="15630" width="0.140625" style="105" customWidth="1"/>
    <col min="15631" max="15631" width="14.140625" style="105" customWidth="1"/>
    <col min="15632" max="15874" width="9.140625" style="105"/>
    <col min="15875" max="15875" width="7.140625" style="105" customWidth="1"/>
    <col min="15876" max="15876" width="8.85546875" style="105" customWidth="1"/>
    <col min="15877" max="15877" width="30.28515625" style="105" customWidth="1"/>
    <col min="15878" max="15878" width="13.140625" style="105" bestFit="1" customWidth="1"/>
    <col min="15879" max="15879" width="14.140625" style="105" bestFit="1" customWidth="1"/>
    <col min="15880" max="15880" width="15" style="105" bestFit="1" customWidth="1"/>
    <col min="15881" max="15881" width="14.28515625" style="105" customWidth="1"/>
    <col min="15882" max="15882" width="14.140625" style="105" customWidth="1"/>
    <col min="15883" max="15883" width="11.5703125" style="105" customWidth="1"/>
    <col min="15884" max="15885" width="11.42578125" style="105" customWidth="1"/>
    <col min="15886" max="15886" width="0.140625" style="105" customWidth="1"/>
    <col min="15887" max="15887" width="14.140625" style="105" customWidth="1"/>
    <col min="15888" max="16130" width="9.140625" style="105"/>
    <col min="16131" max="16131" width="7.140625" style="105" customWidth="1"/>
    <col min="16132" max="16132" width="8.85546875" style="105" customWidth="1"/>
    <col min="16133" max="16133" width="30.28515625" style="105" customWidth="1"/>
    <col min="16134" max="16134" width="13.140625" style="105" bestFit="1" customWidth="1"/>
    <col min="16135" max="16135" width="14.140625" style="105" bestFit="1" customWidth="1"/>
    <col min="16136" max="16136" width="15" style="105" bestFit="1" customWidth="1"/>
    <col min="16137" max="16137" width="14.28515625" style="105" customWidth="1"/>
    <col min="16138" max="16138" width="14.140625" style="105" customWidth="1"/>
    <col min="16139" max="16139" width="11.5703125" style="105" customWidth="1"/>
    <col min="16140" max="16141" width="11.42578125" style="105" customWidth="1"/>
    <col min="16142" max="16142" width="0.140625" style="105" customWidth="1"/>
    <col min="16143" max="16143" width="14.140625" style="105" customWidth="1"/>
    <col min="16144" max="16384" width="9.140625" style="105"/>
  </cols>
  <sheetData>
    <row r="1" spans="1:16" ht="21" x14ac:dyDescent="0.35">
      <c r="A1" s="319"/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134"/>
      <c r="N1" s="134"/>
      <c r="O1" s="134"/>
      <c r="P1" s="134"/>
    </row>
    <row r="2" spans="1:16" x14ac:dyDescent="0.25">
      <c r="A2" s="320" t="s">
        <v>272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6" x14ac:dyDescent="0.25">
      <c r="A3" s="320"/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</row>
    <row r="4" spans="1:16" s="101" customFormat="1" x14ac:dyDescent="0.25"/>
    <row r="5" spans="1:16" s="101" customFormat="1" x14ac:dyDescent="0.25">
      <c r="A5" s="321" t="s">
        <v>174</v>
      </c>
      <c r="B5" s="321"/>
      <c r="C5" s="322" t="s">
        <v>273</v>
      </c>
      <c r="D5" s="322" t="s">
        <v>274</v>
      </c>
      <c r="E5" s="323" t="s">
        <v>275</v>
      </c>
      <c r="F5" s="324"/>
      <c r="G5" s="323" t="s">
        <v>276</v>
      </c>
      <c r="H5" s="333"/>
      <c r="I5" s="333"/>
      <c r="J5" s="333"/>
      <c r="K5" s="333"/>
      <c r="L5" s="334"/>
    </row>
    <row r="6" spans="1:16" ht="25.5" x14ac:dyDescent="0.25">
      <c r="A6" s="321"/>
      <c r="B6" s="321"/>
      <c r="C6" s="322"/>
      <c r="D6" s="322"/>
      <c r="E6" s="135" t="s">
        <v>277</v>
      </c>
      <c r="F6" s="135" t="s">
        <v>278</v>
      </c>
      <c r="G6" s="135" t="s">
        <v>277</v>
      </c>
      <c r="H6" s="135" t="s">
        <v>279</v>
      </c>
      <c r="I6" s="135" t="s">
        <v>280</v>
      </c>
      <c r="J6" s="163" t="s">
        <v>489</v>
      </c>
      <c r="K6" s="163" t="s">
        <v>410</v>
      </c>
      <c r="L6" s="135" t="s">
        <v>281</v>
      </c>
    </row>
    <row r="7" spans="1:16" x14ac:dyDescent="0.25">
      <c r="A7" s="325">
        <v>1</v>
      </c>
      <c r="B7" s="328" t="s">
        <v>282</v>
      </c>
      <c r="C7" s="136" t="str">
        <f>'[1]Quadro Resumo m²'!C6</f>
        <v>Área Interna</v>
      </c>
      <c r="D7" s="137">
        <f>'Quadro Resumo m²'!E9</f>
        <v>59453.599999999999</v>
      </c>
      <c r="E7" s="138" t="s">
        <v>283</v>
      </c>
      <c r="F7" s="139">
        <v>885</v>
      </c>
      <c r="G7" s="140">
        <f>L7/30</f>
        <v>2.23</v>
      </c>
      <c r="H7" s="141" t="s">
        <v>283</v>
      </c>
      <c r="I7" s="141" t="s">
        <v>283</v>
      </c>
      <c r="J7" s="141"/>
      <c r="K7" s="141"/>
      <c r="L7" s="142">
        <f>D7/F7</f>
        <v>67</v>
      </c>
    </row>
    <row r="8" spans="1:16" x14ac:dyDescent="0.25">
      <c r="A8" s="326"/>
      <c r="B8" s="329"/>
      <c r="C8" s="136" t="str">
        <f>'[1]Quadro Resumo m²'!C7</f>
        <v>Área Externa</v>
      </c>
      <c r="D8" s="137">
        <f>'Quadro Resumo m²'!E10</f>
        <v>19671.11</v>
      </c>
      <c r="E8" s="138" t="s">
        <v>283</v>
      </c>
      <c r="F8" s="139">
        <v>2500</v>
      </c>
      <c r="G8" s="140">
        <f>L8/30</f>
        <v>0.27</v>
      </c>
      <c r="H8" s="141" t="s">
        <v>283</v>
      </c>
      <c r="I8" s="141" t="s">
        <v>283</v>
      </c>
      <c r="J8" s="141"/>
      <c r="K8" s="141"/>
      <c r="L8" s="142">
        <f>D8/F8</f>
        <v>8</v>
      </c>
    </row>
    <row r="9" spans="1:16" x14ac:dyDescent="0.25">
      <c r="A9" s="326"/>
      <c r="B9" s="329"/>
      <c r="C9" s="136" t="str">
        <f>'[1]Quadro Resumo m²'!C8</f>
        <v>Posto Atendimento Médico Odontológico</v>
      </c>
      <c r="D9" s="137">
        <f>'Quadro Resumo m²'!E11</f>
        <v>1006.96</v>
      </c>
      <c r="E9" s="138" t="s">
        <v>283</v>
      </c>
      <c r="F9" s="139">
        <v>360</v>
      </c>
      <c r="G9" s="140">
        <f>I9/30</f>
        <v>0.1</v>
      </c>
      <c r="H9" s="141" t="s">
        <v>283</v>
      </c>
      <c r="I9" s="143">
        <f>D9/F9</f>
        <v>3</v>
      </c>
      <c r="J9" s="143"/>
      <c r="K9" s="143"/>
      <c r="L9" s="168">
        <v>0</v>
      </c>
    </row>
    <row r="10" spans="1:16" x14ac:dyDescent="0.25">
      <c r="A10" s="326"/>
      <c r="B10" s="329"/>
      <c r="C10" s="136" t="str">
        <f>'[1]Quadro Resumo m²'!C9</f>
        <v>Banheiros</v>
      </c>
      <c r="D10" s="137">
        <f>'Quadro Resumo m²'!E12</f>
        <v>2638</v>
      </c>
      <c r="E10" s="138" t="s">
        <v>283</v>
      </c>
      <c r="F10" s="139">
        <v>690</v>
      </c>
      <c r="G10" s="140">
        <f>L10/30</f>
        <v>0.13</v>
      </c>
      <c r="H10" s="141" t="s">
        <v>283</v>
      </c>
      <c r="I10" s="141" t="s">
        <v>283</v>
      </c>
      <c r="J10" s="141"/>
      <c r="K10" s="141"/>
      <c r="L10" s="142">
        <f>D10/F10</f>
        <v>4</v>
      </c>
    </row>
    <row r="11" spans="1:16" x14ac:dyDescent="0.25">
      <c r="A11" s="326"/>
      <c r="B11" s="329"/>
      <c r="C11" s="271" t="str">
        <f>'[1]Quadro Resumo m²'!C10</f>
        <v>Vidros Externos / Face Interna</v>
      </c>
      <c r="D11" s="272">
        <f>'Quadro Resumo m²'!E13</f>
        <v>13548.3</v>
      </c>
      <c r="E11" s="265" t="s">
        <v>283</v>
      </c>
      <c r="F11" s="265">
        <v>300</v>
      </c>
      <c r="G11" s="266">
        <f>L11/30</f>
        <v>0</v>
      </c>
      <c r="H11" s="267">
        <v>1</v>
      </c>
      <c r="I11" s="268" t="s">
        <v>283</v>
      </c>
      <c r="J11" s="268"/>
      <c r="K11" s="268"/>
      <c r="L11" s="269">
        <v>0</v>
      </c>
    </row>
    <row r="12" spans="1:16" x14ac:dyDescent="0.25">
      <c r="A12" s="326"/>
      <c r="B12" s="329"/>
      <c r="C12" s="271" t="str">
        <f>'[1]Quadro Resumo m²'!C11</f>
        <v>Vidros Externos / Face Externa</v>
      </c>
      <c r="D12" s="272">
        <f>'Quadro Resumo m²'!E14</f>
        <v>10850.95</v>
      </c>
      <c r="E12" s="265" t="s">
        <v>283</v>
      </c>
      <c r="F12" s="265">
        <v>130</v>
      </c>
      <c r="G12" s="266">
        <f>H12/4</f>
        <v>0.25</v>
      </c>
      <c r="H12" s="267">
        <v>1</v>
      </c>
      <c r="I12" s="268" t="s">
        <v>283</v>
      </c>
      <c r="J12" s="268"/>
      <c r="K12" s="268"/>
      <c r="L12" s="269">
        <v>0</v>
      </c>
    </row>
    <row r="13" spans="1:16" x14ac:dyDescent="0.25">
      <c r="A13" s="327"/>
      <c r="B13" s="330"/>
      <c r="C13" s="271" t="str">
        <f>'[1]Quadro Resumo m²'!C12</f>
        <v>Esquadrias</v>
      </c>
      <c r="D13" s="272">
        <f>'Quadro Resumo m²'!E16</f>
        <v>6783</v>
      </c>
      <c r="E13" s="265" t="s">
        <v>283</v>
      </c>
      <c r="F13" s="265">
        <v>300</v>
      </c>
      <c r="G13" s="266">
        <f>J13/4</f>
        <v>0.25</v>
      </c>
      <c r="H13" s="270"/>
      <c r="I13" s="270" t="s">
        <v>283</v>
      </c>
      <c r="J13" s="270">
        <v>1</v>
      </c>
      <c r="K13" s="270"/>
      <c r="L13" s="267">
        <v>0</v>
      </c>
      <c r="P13" s="125"/>
    </row>
    <row r="14" spans="1:16" x14ac:dyDescent="0.25">
      <c r="A14" s="164"/>
      <c r="B14" s="165"/>
      <c r="C14" s="271" t="s">
        <v>490</v>
      </c>
      <c r="D14" s="272"/>
      <c r="E14" s="265"/>
      <c r="F14" s="265">
        <v>2700</v>
      </c>
      <c r="G14" s="266">
        <f>K14/4</f>
        <v>0.25</v>
      </c>
      <c r="H14" s="270"/>
      <c r="I14" s="270"/>
      <c r="J14" s="270"/>
      <c r="K14" s="270">
        <v>1</v>
      </c>
      <c r="L14" s="267">
        <v>0</v>
      </c>
      <c r="P14" s="125"/>
    </row>
    <row r="15" spans="1:16" x14ac:dyDescent="0.25">
      <c r="A15" s="296" t="s">
        <v>284</v>
      </c>
      <c r="B15" s="296"/>
      <c r="C15" s="296"/>
      <c r="D15" s="296"/>
      <c r="E15" s="331"/>
      <c r="F15" s="332"/>
      <c r="G15" s="144">
        <f>SUM(G7:G13)</f>
        <v>3</v>
      </c>
      <c r="H15" s="144">
        <v>2</v>
      </c>
      <c r="I15" s="144">
        <f>SUM(I7:I13)</f>
        <v>3</v>
      </c>
      <c r="J15" s="144">
        <v>1</v>
      </c>
      <c r="K15" s="144">
        <v>1</v>
      </c>
      <c r="L15" s="144">
        <f>SUM(L7:L13)</f>
        <v>79</v>
      </c>
      <c r="P15" s="125"/>
    </row>
    <row r="16" spans="1:16" x14ac:dyDescent="0.25">
      <c r="A16" s="318" t="s">
        <v>285</v>
      </c>
      <c r="B16" s="318"/>
      <c r="C16" s="318"/>
      <c r="D16" s="318"/>
      <c r="E16" s="318"/>
      <c r="F16" s="296"/>
      <c r="G16" s="317">
        <f>SUM(G15:L15)</f>
        <v>89</v>
      </c>
      <c r="H16" s="318"/>
      <c r="I16" s="318"/>
      <c r="J16" s="318"/>
      <c r="K16" s="318"/>
      <c r="L16" s="318"/>
      <c r="P16" s="125"/>
    </row>
    <row r="17" spans="5:16" x14ac:dyDescent="0.25">
      <c r="F17" s="126"/>
      <c r="G17" s="126"/>
      <c r="P17" s="125"/>
    </row>
    <row r="18" spans="5:16" x14ac:dyDescent="0.25">
      <c r="F18" s="167"/>
      <c r="G18" s="126"/>
    </row>
    <row r="19" spans="5:16" x14ac:dyDescent="0.25">
      <c r="E19" s="145"/>
      <c r="F19" s="126"/>
      <c r="G19" s="126"/>
    </row>
    <row r="20" spans="5:16" x14ac:dyDescent="0.25">
      <c r="F20" s="126"/>
      <c r="G20" s="126"/>
    </row>
    <row r="21" spans="5:16" x14ac:dyDescent="0.25">
      <c r="F21" s="126"/>
      <c r="G21" s="126"/>
    </row>
    <row r="22" spans="5:16" x14ac:dyDescent="0.25">
      <c r="F22" s="126"/>
      <c r="G22" s="126"/>
    </row>
    <row r="23" spans="5:16" x14ac:dyDescent="0.25">
      <c r="F23" s="126"/>
      <c r="G23" s="126"/>
    </row>
    <row r="24" spans="5:16" x14ac:dyDescent="0.25">
      <c r="F24" s="126"/>
      <c r="G24" s="126"/>
    </row>
    <row r="25" spans="5:16" x14ac:dyDescent="0.25">
      <c r="F25" s="126"/>
      <c r="G25" s="126"/>
    </row>
    <row r="26" spans="5:16" x14ac:dyDescent="0.25">
      <c r="F26" s="126"/>
      <c r="G26" s="126"/>
    </row>
    <row r="27" spans="5:16" x14ac:dyDescent="0.25">
      <c r="F27" s="126"/>
      <c r="G27" s="126"/>
    </row>
    <row r="28" spans="5:16" x14ac:dyDescent="0.25">
      <c r="F28" s="126"/>
      <c r="G28" s="126"/>
    </row>
    <row r="29" spans="5:16" x14ac:dyDescent="0.25">
      <c r="F29" s="126"/>
      <c r="G29" s="126"/>
    </row>
    <row r="30" spans="5:16" x14ac:dyDescent="0.25">
      <c r="F30" s="126"/>
      <c r="G30" s="126"/>
    </row>
  </sheetData>
  <mergeCells count="13">
    <mergeCell ref="G16:L16"/>
    <mergeCell ref="A1:L1"/>
    <mergeCell ref="A2:L3"/>
    <mergeCell ref="A5:B6"/>
    <mergeCell ref="C5:C6"/>
    <mergeCell ref="D5:D6"/>
    <mergeCell ref="E5:F5"/>
    <mergeCell ref="A7:A13"/>
    <mergeCell ref="B7:B13"/>
    <mergeCell ref="A15:D15"/>
    <mergeCell ref="E15:F15"/>
    <mergeCell ref="A16:F16"/>
    <mergeCell ref="G5:L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43"/>
  <sheetViews>
    <sheetView showGridLines="0" topLeftCell="A124" zoomScaleNormal="100" workbookViewId="0">
      <selection activeCell="E93" sqref="E93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16384" width="9.140625" style="13"/>
  </cols>
  <sheetData>
    <row r="1" spans="1:6" ht="12.75" customHeight="1" x14ac:dyDescent="0.2">
      <c r="A1" s="367" t="s">
        <v>28</v>
      </c>
      <c r="B1" s="368"/>
      <c r="C1" s="368"/>
      <c r="D1" s="368"/>
    </row>
    <row r="2" spans="1:6" ht="12.75" customHeight="1" x14ac:dyDescent="0.2">
      <c r="A2" s="367" t="s">
        <v>29</v>
      </c>
      <c r="B2" s="368"/>
      <c r="C2" s="368"/>
      <c r="D2" s="368"/>
    </row>
    <row r="3" spans="1:6" ht="12.75" customHeight="1" x14ac:dyDescent="0.2">
      <c r="A3" s="367" t="s">
        <v>171</v>
      </c>
      <c r="B3" s="368"/>
      <c r="C3" s="368"/>
      <c r="D3" s="368"/>
    </row>
    <row r="4" spans="1:6" ht="15" customHeight="1" x14ac:dyDescent="0.2">
      <c r="A4" s="367" t="s">
        <v>172</v>
      </c>
      <c r="B4" s="368"/>
      <c r="C4" s="368"/>
      <c r="D4" s="368"/>
    </row>
    <row r="5" spans="1:6" ht="3.75" customHeight="1" x14ac:dyDescent="0.2">
      <c r="A5" s="367"/>
      <c r="B5" s="368"/>
      <c r="C5" s="368"/>
      <c r="D5" s="368"/>
    </row>
    <row r="6" spans="1:6" ht="13.5" thickBot="1" x14ac:dyDescent="0.25">
      <c r="A6" s="370" t="s">
        <v>30</v>
      </c>
      <c r="B6" s="371"/>
      <c r="C6" s="371"/>
      <c r="D6" s="371"/>
    </row>
    <row r="7" spans="1:6" x14ac:dyDescent="0.2">
      <c r="A7" s="372" t="s">
        <v>130</v>
      </c>
      <c r="B7" s="373"/>
      <c r="C7" s="373"/>
      <c r="D7" s="374"/>
    </row>
    <row r="8" spans="1:6" ht="13.5" customHeight="1" thickBot="1" x14ac:dyDescent="0.25">
      <c r="A8" s="370" t="s">
        <v>131</v>
      </c>
      <c r="B8" s="371"/>
      <c r="C8" s="371"/>
      <c r="D8" s="382"/>
    </row>
    <row r="9" spans="1:6" ht="13.5" thickBot="1" x14ac:dyDescent="0.25">
      <c r="A9" s="383" t="s">
        <v>14</v>
      </c>
      <c r="B9" s="384"/>
      <c r="C9" s="384"/>
      <c r="D9" s="384"/>
    </row>
    <row r="10" spans="1:6" x14ac:dyDescent="0.2">
      <c r="A10" s="3" t="s">
        <v>31</v>
      </c>
      <c r="B10" s="385" t="s">
        <v>32</v>
      </c>
      <c r="C10" s="385"/>
      <c r="D10" s="4" t="s">
        <v>375</v>
      </c>
    </row>
    <row r="11" spans="1:6" x14ac:dyDescent="0.2">
      <c r="A11" s="5" t="s">
        <v>33</v>
      </c>
      <c r="B11" s="386" t="s">
        <v>34</v>
      </c>
      <c r="C11" s="386"/>
      <c r="D11" s="6" t="s">
        <v>35</v>
      </c>
    </row>
    <row r="12" spans="1:6" ht="25.5" x14ac:dyDescent="0.2">
      <c r="A12" s="5" t="s">
        <v>36</v>
      </c>
      <c r="B12" s="387" t="s">
        <v>37</v>
      </c>
      <c r="C12" s="388"/>
      <c r="D12" s="115" t="s">
        <v>399</v>
      </c>
    </row>
    <row r="13" spans="1:6" ht="13.5" thickBot="1" x14ac:dyDescent="0.25">
      <c r="A13" s="7" t="s">
        <v>4</v>
      </c>
      <c r="B13" s="375" t="s">
        <v>38</v>
      </c>
      <c r="C13" s="375"/>
      <c r="D13" s="8">
        <v>12</v>
      </c>
    </row>
    <row r="14" spans="1:6" ht="13.5" thickBot="1" x14ac:dyDescent="0.25">
      <c r="A14" s="378" t="s">
        <v>39</v>
      </c>
      <c r="B14" s="379"/>
      <c r="C14" s="379"/>
      <c r="D14" s="379"/>
    </row>
    <row r="15" spans="1:6" ht="25.5" x14ac:dyDescent="0.2">
      <c r="A15" s="80">
        <v>1</v>
      </c>
      <c r="B15" s="81" t="s">
        <v>40</v>
      </c>
      <c r="C15" s="380" t="s">
        <v>376</v>
      </c>
      <c r="D15" s="381"/>
    </row>
    <row r="16" spans="1:6" x14ac:dyDescent="0.2">
      <c r="A16" s="10">
        <v>2</v>
      </c>
      <c r="B16" s="361" t="s">
        <v>15</v>
      </c>
      <c r="C16" s="355"/>
      <c r="D16" s="11">
        <v>2575.91</v>
      </c>
      <c r="F16" s="114"/>
    </row>
    <row r="17" spans="1:4" x14ac:dyDescent="0.2">
      <c r="A17" s="10">
        <v>3</v>
      </c>
      <c r="B17" s="361" t="s">
        <v>41</v>
      </c>
      <c r="C17" s="362"/>
      <c r="D17" s="12" t="s">
        <v>376</v>
      </c>
    </row>
    <row r="18" spans="1:4" x14ac:dyDescent="0.2">
      <c r="A18" s="1">
        <v>4</v>
      </c>
      <c r="B18" s="116" t="s">
        <v>132</v>
      </c>
      <c r="C18" s="288"/>
      <c r="D18" s="119" t="s">
        <v>385</v>
      </c>
    </row>
    <row r="19" spans="1:4" ht="13.5" thickBot="1" x14ac:dyDescent="0.25">
      <c r="A19" s="2">
        <v>5</v>
      </c>
      <c r="B19" s="363" t="s">
        <v>42</v>
      </c>
      <c r="C19" s="364"/>
      <c r="D19" s="117">
        <v>44197</v>
      </c>
    </row>
    <row r="20" spans="1:4" ht="13.5" thickBot="1" x14ac:dyDescent="0.25">
      <c r="A20" s="365" t="s">
        <v>26</v>
      </c>
      <c r="B20" s="366"/>
      <c r="C20" s="366"/>
      <c r="D20" s="366"/>
    </row>
    <row r="21" spans="1:4" ht="13.5" thickBot="1" x14ac:dyDescent="0.25">
      <c r="A21" s="287">
        <v>1</v>
      </c>
      <c r="B21" s="376" t="s">
        <v>43</v>
      </c>
      <c r="C21" s="377"/>
      <c r="D21" s="14" t="s">
        <v>44</v>
      </c>
    </row>
    <row r="22" spans="1:4" x14ac:dyDescent="0.2">
      <c r="A22" s="15" t="s">
        <v>31</v>
      </c>
      <c r="B22" s="356" t="s">
        <v>45</v>
      </c>
      <c r="C22" s="356"/>
      <c r="D22" s="16">
        <f>D16</f>
        <v>2575.91</v>
      </c>
    </row>
    <row r="23" spans="1:4" x14ac:dyDescent="0.2">
      <c r="A23" s="17" t="s">
        <v>33</v>
      </c>
      <c r="B23" s="286" t="s">
        <v>16</v>
      </c>
      <c r="C23" s="18">
        <v>0</v>
      </c>
      <c r="D23" s="19">
        <f t="shared" ref="D23" si="0">C23*D22</f>
        <v>0</v>
      </c>
    </row>
    <row r="24" spans="1:4" x14ac:dyDescent="0.2">
      <c r="A24" s="17" t="s">
        <v>36</v>
      </c>
      <c r="B24" s="358" t="s">
        <v>46</v>
      </c>
      <c r="C24" s="358"/>
      <c r="D24" s="19">
        <v>0</v>
      </c>
    </row>
    <row r="25" spans="1:4" x14ac:dyDescent="0.2">
      <c r="A25" s="17" t="s">
        <v>47</v>
      </c>
      <c r="B25" s="286" t="s">
        <v>48</v>
      </c>
      <c r="C25" s="20">
        <v>0</v>
      </c>
      <c r="D25" s="19">
        <v>0</v>
      </c>
    </row>
    <row r="26" spans="1:4" x14ac:dyDescent="0.2">
      <c r="A26" s="17" t="s">
        <v>49</v>
      </c>
      <c r="B26" s="358" t="s">
        <v>50</v>
      </c>
      <c r="C26" s="358"/>
      <c r="D26" s="19">
        <f t="shared" ref="D26" si="1">D22/220*0.2*0*15</f>
        <v>0</v>
      </c>
    </row>
    <row r="27" spans="1:4" x14ac:dyDescent="0.2">
      <c r="A27" s="17" t="s">
        <v>51</v>
      </c>
      <c r="B27" s="358" t="s">
        <v>52</v>
      </c>
      <c r="C27" s="358"/>
      <c r="D27" s="19">
        <v>0</v>
      </c>
    </row>
    <row r="28" spans="1:4" x14ac:dyDescent="0.2">
      <c r="A28" s="21" t="s">
        <v>53</v>
      </c>
      <c r="B28" s="359" t="s">
        <v>54</v>
      </c>
      <c r="C28" s="359"/>
      <c r="D28" s="22">
        <v>0</v>
      </c>
    </row>
    <row r="29" spans="1:4" ht="13.5" thickBot="1" x14ac:dyDescent="0.25">
      <c r="A29" s="352" t="s">
        <v>55</v>
      </c>
      <c r="B29" s="360"/>
      <c r="C29" s="353"/>
      <c r="D29" s="23">
        <f t="shared" ref="D29" si="2">ROUND(SUM(D22:D28),2)</f>
        <v>2575.91</v>
      </c>
    </row>
    <row r="30" spans="1:4" ht="13.5" thickBot="1" x14ac:dyDescent="0.25">
      <c r="A30" s="289" t="s">
        <v>141</v>
      </c>
      <c r="B30" s="77"/>
      <c r="C30" s="24"/>
      <c r="D30" s="25"/>
    </row>
    <row r="31" spans="1:4" ht="13.5" thickBot="1" x14ac:dyDescent="0.25">
      <c r="A31" s="344" t="s">
        <v>56</v>
      </c>
      <c r="B31" s="345"/>
      <c r="C31" s="345"/>
      <c r="D31" s="346"/>
    </row>
    <row r="32" spans="1:4" ht="13.5" thickBot="1" x14ac:dyDescent="0.25">
      <c r="A32" s="344" t="s">
        <v>57</v>
      </c>
      <c r="B32" s="345"/>
      <c r="C32" s="345"/>
      <c r="D32" s="346"/>
    </row>
    <row r="33" spans="1:5" ht="13.5" thickBot="1" x14ac:dyDescent="0.25">
      <c r="A33" s="27" t="s">
        <v>58</v>
      </c>
      <c r="B33" s="28" t="s">
        <v>59</v>
      </c>
      <c r="C33" s="29" t="s">
        <v>60</v>
      </c>
      <c r="D33" s="30" t="s">
        <v>44</v>
      </c>
    </row>
    <row r="34" spans="1:5" x14ac:dyDescent="0.2">
      <c r="A34" s="9" t="s">
        <v>31</v>
      </c>
      <c r="B34" s="31" t="s">
        <v>61</v>
      </c>
      <c r="C34" s="32">
        <v>8.3299999999999999E-2</v>
      </c>
      <c r="D34" s="11">
        <f>ROUND(D$29*C34,2)</f>
        <v>214.57</v>
      </c>
    </row>
    <row r="35" spans="1:5" x14ac:dyDescent="0.2">
      <c r="A35" s="10" t="s">
        <v>33</v>
      </c>
      <c r="B35" s="33" t="s">
        <v>62</v>
      </c>
      <c r="C35" s="34">
        <v>0.121</v>
      </c>
      <c r="D35" s="11">
        <f t="shared" ref="D35" si="3">ROUND(D$29*C35,2)</f>
        <v>311.69</v>
      </c>
    </row>
    <row r="36" spans="1:5" ht="13.5" thickBot="1" x14ac:dyDescent="0.25">
      <c r="A36" s="335" t="s">
        <v>164</v>
      </c>
      <c r="B36" s="336"/>
      <c r="C36" s="82">
        <f>SUM(A34:C35)</f>
        <v>0.20430000000000001</v>
      </c>
      <c r="D36" s="11">
        <f>SUM(D34:D35)</f>
        <v>526.26</v>
      </c>
    </row>
    <row r="37" spans="1:5" ht="25.5" x14ac:dyDescent="0.2">
      <c r="A37" s="1" t="s">
        <v>3</v>
      </c>
      <c r="B37" s="83" t="s">
        <v>165</v>
      </c>
      <c r="C37" s="84">
        <f>C36*C52</f>
        <v>7.5200000000000003E-2</v>
      </c>
      <c r="D37" s="11">
        <f>ROUND(D$29*C37,2)</f>
        <v>193.71</v>
      </c>
      <c r="E37" s="96"/>
    </row>
    <row r="38" spans="1:5" x14ac:dyDescent="0.2">
      <c r="A38" s="337" t="s">
        <v>63</v>
      </c>
      <c r="B38" s="338"/>
      <c r="C38" s="338"/>
      <c r="D38" s="11">
        <f>SUM(D36:D37)</f>
        <v>719.97</v>
      </c>
    </row>
    <row r="39" spans="1:5" ht="31.5" customHeight="1" x14ac:dyDescent="0.2">
      <c r="A39" s="389" t="s">
        <v>151</v>
      </c>
      <c r="B39" s="389"/>
      <c r="C39" s="389"/>
      <c r="D39" s="389"/>
    </row>
    <row r="40" spans="1:5" ht="22.5" customHeight="1" x14ac:dyDescent="0.2">
      <c r="A40" s="389" t="s">
        <v>142</v>
      </c>
      <c r="B40" s="389"/>
      <c r="C40" s="389"/>
      <c r="D40" s="389"/>
    </row>
    <row r="41" spans="1:5" ht="33" customHeight="1" thickBot="1" x14ac:dyDescent="0.25">
      <c r="A41" s="390" t="s">
        <v>152</v>
      </c>
      <c r="B41" s="390"/>
      <c r="C41" s="390"/>
      <c r="D41" s="390"/>
    </row>
    <row r="42" spans="1:5" ht="24.75" customHeight="1" thickBot="1" x14ac:dyDescent="0.25">
      <c r="A42" s="349" t="s">
        <v>64</v>
      </c>
      <c r="B42" s="394"/>
      <c r="C42" s="394"/>
      <c r="D42" s="350"/>
    </row>
    <row r="43" spans="1:5" ht="13.5" thickBot="1" x14ac:dyDescent="0.25">
      <c r="A43" s="27" t="s">
        <v>65</v>
      </c>
      <c r="B43" s="285" t="s">
        <v>66</v>
      </c>
      <c r="C43" s="29" t="s">
        <v>60</v>
      </c>
      <c r="D43" s="30" t="s">
        <v>44</v>
      </c>
    </row>
    <row r="44" spans="1:5" x14ac:dyDescent="0.2">
      <c r="A44" s="9" t="s">
        <v>31</v>
      </c>
      <c r="B44" s="31" t="s">
        <v>67</v>
      </c>
      <c r="C44" s="32">
        <v>0.2</v>
      </c>
      <c r="D44" s="11">
        <f>ROUND(D$29*C44,2)</f>
        <v>515.17999999999995</v>
      </c>
    </row>
    <row r="45" spans="1:5" x14ac:dyDescent="0.2">
      <c r="A45" s="10" t="s">
        <v>33</v>
      </c>
      <c r="B45" s="33" t="s">
        <v>68</v>
      </c>
      <c r="C45" s="34">
        <v>2.5000000000000001E-2</v>
      </c>
      <c r="D45" s="11">
        <f t="shared" ref="D45:D51" si="4">ROUND(D$29*C45,2)</f>
        <v>64.400000000000006</v>
      </c>
    </row>
    <row r="46" spans="1:5" x14ac:dyDescent="0.2">
      <c r="A46" s="10" t="s">
        <v>36</v>
      </c>
      <c r="B46" s="33" t="s">
        <v>69</v>
      </c>
      <c r="C46" s="98">
        <v>0.03</v>
      </c>
      <c r="D46" s="11">
        <f t="shared" si="4"/>
        <v>77.28</v>
      </c>
    </row>
    <row r="47" spans="1:5" x14ac:dyDescent="0.2">
      <c r="A47" s="10" t="s">
        <v>47</v>
      </c>
      <c r="B47" s="33" t="s">
        <v>70</v>
      </c>
      <c r="C47" s="34">
        <v>1.4999999999999999E-2</v>
      </c>
      <c r="D47" s="11">
        <f t="shared" si="4"/>
        <v>38.64</v>
      </c>
    </row>
    <row r="48" spans="1:5" x14ac:dyDescent="0.2">
      <c r="A48" s="10" t="s">
        <v>49</v>
      </c>
      <c r="B48" s="33" t="s">
        <v>71</v>
      </c>
      <c r="C48" s="34">
        <v>0.01</v>
      </c>
      <c r="D48" s="11">
        <f t="shared" si="4"/>
        <v>25.76</v>
      </c>
    </row>
    <row r="49" spans="1:5" x14ac:dyDescent="0.2">
      <c r="A49" s="10" t="s">
        <v>72</v>
      </c>
      <c r="B49" s="33" t="s">
        <v>73</v>
      </c>
      <c r="C49" s="34">
        <v>6.0000000000000001E-3</v>
      </c>
      <c r="D49" s="11">
        <f t="shared" si="4"/>
        <v>15.46</v>
      </c>
    </row>
    <row r="50" spans="1:5" x14ac:dyDescent="0.2">
      <c r="A50" s="10" t="s">
        <v>51</v>
      </c>
      <c r="B50" s="33" t="s">
        <v>10</v>
      </c>
      <c r="C50" s="34">
        <v>2E-3</v>
      </c>
      <c r="D50" s="11">
        <f t="shared" si="4"/>
        <v>5.15</v>
      </c>
    </row>
    <row r="51" spans="1:5" x14ac:dyDescent="0.2">
      <c r="A51" s="1" t="s">
        <v>53</v>
      </c>
      <c r="B51" s="35" t="s">
        <v>11</v>
      </c>
      <c r="C51" s="34">
        <v>0.08</v>
      </c>
      <c r="D51" s="11">
        <f t="shared" si="4"/>
        <v>206.07</v>
      </c>
    </row>
    <row r="52" spans="1:5" ht="13.5" thickBot="1" x14ac:dyDescent="0.25">
      <c r="A52" s="352" t="s">
        <v>74</v>
      </c>
      <c r="B52" s="353"/>
      <c r="C52" s="36">
        <f t="shared" ref="C52:D52" si="5">SUM(C44:C51)</f>
        <v>0.36799999999999999</v>
      </c>
      <c r="D52" s="37">
        <f t="shared" si="5"/>
        <v>947.94</v>
      </c>
    </row>
    <row r="53" spans="1:5" x14ac:dyDescent="0.2">
      <c r="A53" s="79" t="s">
        <v>143</v>
      </c>
      <c r="B53" s="85"/>
      <c r="C53" s="86"/>
      <c r="D53" s="87"/>
      <c r="E53" s="88"/>
    </row>
    <row r="54" spans="1:5" x14ac:dyDescent="0.2">
      <c r="A54" s="79" t="s">
        <v>144</v>
      </c>
      <c r="B54" s="85"/>
      <c r="C54" s="86"/>
      <c r="D54" s="87"/>
      <c r="E54" s="88"/>
    </row>
    <row r="55" spans="1:5" ht="13.5" thickBot="1" x14ac:dyDescent="0.25">
      <c r="A55" s="289" t="s">
        <v>166</v>
      </c>
      <c r="B55" s="85"/>
      <c r="C55" s="86"/>
      <c r="D55" s="87"/>
      <c r="E55" s="88"/>
    </row>
    <row r="56" spans="1:5" ht="13.5" thickBot="1" x14ac:dyDescent="0.25">
      <c r="A56" s="344" t="s">
        <v>75</v>
      </c>
      <c r="B56" s="345"/>
      <c r="C56" s="345"/>
      <c r="D56" s="346"/>
    </row>
    <row r="57" spans="1:5" ht="13.5" thickBot="1" x14ac:dyDescent="0.25">
      <c r="A57" s="27" t="s">
        <v>76</v>
      </c>
      <c r="B57" s="354" t="s">
        <v>17</v>
      </c>
      <c r="C57" s="343"/>
      <c r="D57" s="38" t="s">
        <v>44</v>
      </c>
    </row>
    <row r="58" spans="1:5" x14ac:dyDescent="0.2">
      <c r="A58" s="3" t="s">
        <v>31</v>
      </c>
      <c r="B58" s="355" t="s">
        <v>77</v>
      </c>
      <c r="C58" s="356"/>
      <c r="D58" s="11">
        <f>5.5*2*22-6%*D22</f>
        <v>87.45</v>
      </c>
    </row>
    <row r="59" spans="1:5" x14ac:dyDescent="0.2">
      <c r="A59" s="5" t="s">
        <v>33</v>
      </c>
      <c r="B59" s="362" t="s">
        <v>78</v>
      </c>
      <c r="C59" s="358"/>
      <c r="D59" s="39">
        <f>35*22</f>
        <v>770</v>
      </c>
    </row>
    <row r="60" spans="1:5" x14ac:dyDescent="0.2">
      <c r="A60" s="5" t="s">
        <v>3</v>
      </c>
      <c r="B60" s="40" t="s">
        <v>79</v>
      </c>
      <c r="C60" s="41"/>
      <c r="D60" s="39">
        <v>0</v>
      </c>
    </row>
    <row r="61" spans="1:5" x14ac:dyDescent="0.2">
      <c r="A61" s="5" t="s">
        <v>47</v>
      </c>
      <c r="B61" s="42" t="s">
        <v>80</v>
      </c>
      <c r="C61" s="41"/>
      <c r="D61" s="39">
        <v>0</v>
      </c>
    </row>
    <row r="62" spans="1:5" x14ac:dyDescent="0.2">
      <c r="A62" s="3" t="s">
        <v>5</v>
      </c>
      <c r="B62" s="355" t="s">
        <v>81</v>
      </c>
      <c r="C62" s="356"/>
      <c r="D62" s="11">
        <v>2.2999999999999998</v>
      </c>
    </row>
    <row r="63" spans="1:5" x14ac:dyDescent="0.2">
      <c r="A63" s="5" t="s">
        <v>72</v>
      </c>
      <c r="B63" s="362" t="s">
        <v>82</v>
      </c>
      <c r="C63" s="358"/>
      <c r="D63" s="39">
        <v>0</v>
      </c>
    </row>
    <row r="64" spans="1:5" x14ac:dyDescent="0.2">
      <c r="A64" s="5" t="s">
        <v>7</v>
      </c>
      <c r="B64" s="40" t="s">
        <v>83</v>
      </c>
      <c r="C64" s="41"/>
      <c r="D64" s="39">
        <v>0</v>
      </c>
    </row>
    <row r="65" spans="1:4" ht="13.5" thickBot="1" x14ac:dyDescent="0.25">
      <c r="A65" s="43" t="s">
        <v>72</v>
      </c>
      <c r="B65" s="44" t="s">
        <v>84</v>
      </c>
      <c r="C65" s="45"/>
      <c r="D65" s="46">
        <v>0</v>
      </c>
    </row>
    <row r="66" spans="1:4" ht="13.5" thickBot="1" x14ac:dyDescent="0.25">
      <c r="A66" s="392" t="s">
        <v>85</v>
      </c>
      <c r="B66" s="393" t="s">
        <v>85</v>
      </c>
      <c r="C66" s="393"/>
      <c r="D66" s="47">
        <f>SUM(D58:D64)</f>
        <v>859.75</v>
      </c>
    </row>
    <row r="67" spans="1:4" x14ac:dyDescent="0.2">
      <c r="A67" s="79" t="s">
        <v>145</v>
      </c>
      <c r="B67" s="26"/>
      <c r="C67" s="26"/>
      <c r="D67" s="78"/>
    </row>
    <row r="68" spans="1:4" ht="23.25" customHeight="1" thickBot="1" x14ac:dyDescent="0.25">
      <c r="A68" s="351" t="s">
        <v>146</v>
      </c>
      <c r="B68" s="351"/>
      <c r="C68" s="351"/>
      <c r="D68" s="351"/>
    </row>
    <row r="69" spans="1:4" ht="13.5" thickBot="1" x14ac:dyDescent="0.25">
      <c r="A69" s="344" t="s">
        <v>86</v>
      </c>
      <c r="B69" s="345"/>
      <c r="C69" s="345"/>
      <c r="D69" s="346"/>
    </row>
    <row r="70" spans="1:4" ht="36.75" customHeight="1" thickBot="1" x14ac:dyDescent="0.25">
      <c r="A70" s="52">
        <v>2</v>
      </c>
      <c r="B70" s="341" t="s">
        <v>87</v>
      </c>
      <c r="C70" s="343"/>
      <c r="D70" s="53" t="s">
        <v>88</v>
      </c>
    </row>
    <row r="71" spans="1:4" ht="13.5" thickBot="1" x14ac:dyDescent="0.25">
      <c r="A71" s="54" t="s">
        <v>58</v>
      </c>
      <c r="B71" s="347" t="s">
        <v>59</v>
      </c>
      <c r="C71" s="348"/>
      <c r="D71" s="55">
        <f>D38</f>
        <v>719.97</v>
      </c>
    </row>
    <row r="72" spans="1:4" ht="13.5" thickBot="1" x14ac:dyDescent="0.25">
      <c r="A72" s="54" t="s">
        <v>65</v>
      </c>
      <c r="B72" s="347" t="s">
        <v>66</v>
      </c>
      <c r="C72" s="348"/>
      <c r="D72" s="55">
        <f>D52</f>
        <v>947.94</v>
      </c>
    </row>
    <row r="73" spans="1:4" ht="13.5" thickBot="1" x14ac:dyDescent="0.25">
      <c r="A73" s="54" t="s">
        <v>76</v>
      </c>
      <c r="B73" s="339" t="s">
        <v>17</v>
      </c>
      <c r="C73" s="340"/>
      <c r="D73" s="55">
        <f>D66</f>
        <v>859.75</v>
      </c>
    </row>
    <row r="74" spans="1:4" ht="13.5" thickBot="1" x14ac:dyDescent="0.25">
      <c r="A74" s="341" t="s">
        <v>89</v>
      </c>
      <c r="B74" s="342"/>
      <c r="C74" s="343"/>
      <c r="D74" s="56">
        <f>SUM(D71:D73)</f>
        <v>2527.66</v>
      </c>
    </row>
    <row r="75" spans="1:4" ht="13.5" thickBot="1" x14ac:dyDescent="0.25">
      <c r="A75" s="344" t="s">
        <v>90</v>
      </c>
      <c r="B75" s="345"/>
      <c r="C75" s="345"/>
      <c r="D75" s="346"/>
    </row>
    <row r="76" spans="1:4" ht="13.5" thickBot="1" x14ac:dyDescent="0.25">
      <c r="A76" s="52">
        <v>3</v>
      </c>
      <c r="B76" s="285" t="s">
        <v>22</v>
      </c>
      <c r="C76" s="57" t="s">
        <v>0</v>
      </c>
      <c r="D76" s="53" t="s">
        <v>88</v>
      </c>
    </row>
    <row r="77" spans="1:4" ht="13.5" thickBot="1" x14ac:dyDescent="0.25">
      <c r="A77" s="54" t="s">
        <v>1</v>
      </c>
      <c r="B77" s="58" t="s">
        <v>13</v>
      </c>
      <c r="C77" s="59">
        <v>4.5999999999999999E-3</v>
      </c>
      <c r="D77" s="55">
        <f t="shared" ref="D77:D82" si="6">C77*$D$29</f>
        <v>11.85</v>
      </c>
    </row>
    <row r="78" spans="1:4" ht="13.5" thickBot="1" x14ac:dyDescent="0.25">
      <c r="A78" s="54" t="s">
        <v>2</v>
      </c>
      <c r="B78" s="58" t="s">
        <v>91</v>
      </c>
      <c r="C78" s="59">
        <f>8%*C77</f>
        <v>4.0000000000000002E-4</v>
      </c>
      <c r="D78" s="55">
        <f t="shared" si="6"/>
        <v>1.03</v>
      </c>
    </row>
    <row r="79" spans="1:4" ht="26.25" customHeight="1" thickBot="1" x14ac:dyDescent="0.25">
      <c r="A79" s="54" t="s">
        <v>3</v>
      </c>
      <c r="B79" s="58" t="s">
        <v>92</v>
      </c>
      <c r="C79" s="290">
        <v>3.4700000000000002E-2</v>
      </c>
      <c r="D79" s="55">
        <f t="shared" si="6"/>
        <v>89.38</v>
      </c>
    </row>
    <row r="80" spans="1:4" ht="15.75" customHeight="1" thickBot="1" x14ac:dyDescent="0.25">
      <c r="A80" s="54" t="s">
        <v>4</v>
      </c>
      <c r="B80" s="58" t="s">
        <v>23</v>
      </c>
      <c r="C80" s="59">
        <v>1.9400000000000001E-2</v>
      </c>
      <c r="D80" s="55">
        <f t="shared" si="6"/>
        <v>49.97</v>
      </c>
    </row>
    <row r="81" spans="1:5" ht="27" customHeight="1" thickBot="1" x14ac:dyDescent="0.25">
      <c r="A81" s="54" t="s">
        <v>5</v>
      </c>
      <c r="B81" s="58" t="s">
        <v>154</v>
      </c>
      <c r="C81" s="59">
        <f>1*36.8%*C80</f>
        <v>7.1000000000000004E-3</v>
      </c>
      <c r="D81" s="55">
        <f t="shared" si="6"/>
        <v>18.29</v>
      </c>
    </row>
    <row r="82" spans="1:5" ht="26.25" customHeight="1" thickBot="1" x14ac:dyDescent="0.25">
      <c r="A82" s="54" t="s">
        <v>6</v>
      </c>
      <c r="B82" s="58" t="s">
        <v>93</v>
      </c>
      <c r="C82" s="290">
        <v>2.0000000000000001E-4</v>
      </c>
      <c r="D82" s="55">
        <f t="shared" si="6"/>
        <v>0.52</v>
      </c>
    </row>
    <row r="83" spans="1:5" ht="13.5" thickBot="1" x14ac:dyDescent="0.25">
      <c r="A83" s="341" t="s">
        <v>89</v>
      </c>
      <c r="B83" s="343"/>
      <c r="C83" s="60">
        <f t="shared" ref="C83:D83" si="7">SUM(C77:C82)</f>
        <v>6.6400000000000001E-2</v>
      </c>
      <c r="D83" s="61">
        <f t="shared" si="7"/>
        <v>171.04</v>
      </c>
    </row>
    <row r="84" spans="1:5" ht="33.75" customHeight="1" thickBot="1" x14ac:dyDescent="0.25">
      <c r="A84" s="391" t="s">
        <v>147</v>
      </c>
      <c r="B84" s="391"/>
      <c r="C84" s="391"/>
      <c r="D84" s="391"/>
    </row>
    <row r="85" spans="1:5" ht="13.5" thickBot="1" x14ac:dyDescent="0.25">
      <c r="A85" s="344" t="s">
        <v>94</v>
      </c>
      <c r="B85" s="345"/>
      <c r="C85" s="345"/>
      <c r="D85" s="346"/>
    </row>
    <row r="86" spans="1:5" ht="15.75" customHeight="1" thickBot="1" x14ac:dyDescent="0.25">
      <c r="A86" s="341" t="s">
        <v>95</v>
      </c>
      <c r="B86" s="342"/>
      <c r="C86" s="342"/>
      <c r="D86" s="343"/>
    </row>
    <row r="87" spans="1:5" ht="15" customHeight="1" thickBot="1" x14ac:dyDescent="0.25">
      <c r="A87" s="52" t="s">
        <v>20</v>
      </c>
      <c r="B87" s="284" t="s">
        <v>96</v>
      </c>
      <c r="C87" s="52" t="s">
        <v>0</v>
      </c>
      <c r="D87" s="53" t="s">
        <v>88</v>
      </c>
    </row>
    <row r="88" spans="1:5" ht="13.5" thickBot="1" x14ac:dyDescent="0.25">
      <c r="A88" s="54" t="s">
        <v>1</v>
      </c>
      <c r="B88" s="58" t="s">
        <v>155</v>
      </c>
      <c r="C88" s="291">
        <v>9.0749999999999997E-2</v>
      </c>
      <c r="D88" s="63">
        <f>C88*$D$29</f>
        <v>233.76</v>
      </c>
    </row>
    <row r="89" spans="1:5" ht="13.5" thickBot="1" x14ac:dyDescent="0.25">
      <c r="A89" s="54" t="s">
        <v>2</v>
      </c>
      <c r="B89" s="58" t="s">
        <v>383</v>
      </c>
      <c r="C89" s="62">
        <v>4.1999999999999997E-3</v>
      </c>
      <c r="D89" s="63">
        <f>C89*$D$29</f>
        <v>10.82</v>
      </c>
    </row>
    <row r="90" spans="1:5" ht="15" customHeight="1" thickBot="1" x14ac:dyDescent="0.25">
      <c r="A90" s="54" t="s">
        <v>3</v>
      </c>
      <c r="B90" s="58" t="s">
        <v>98</v>
      </c>
      <c r="C90" s="62">
        <v>2.0000000000000001E-4</v>
      </c>
      <c r="D90" s="63">
        <f>C90*$D$29</f>
        <v>0.52</v>
      </c>
    </row>
    <row r="91" spans="1:5" ht="22.5" customHeight="1" thickBot="1" x14ac:dyDescent="0.25">
      <c r="A91" s="54" t="s">
        <v>4</v>
      </c>
      <c r="B91" s="58" t="s">
        <v>99</v>
      </c>
      <c r="C91" s="62">
        <v>4.1999999999999997E-3</v>
      </c>
      <c r="D91" s="63">
        <f>C91*$D$29</f>
        <v>10.82</v>
      </c>
    </row>
    <row r="92" spans="1:5" ht="13.5" thickBot="1" x14ac:dyDescent="0.25">
      <c r="A92" s="54" t="s">
        <v>5</v>
      </c>
      <c r="B92" s="58" t="s">
        <v>156</v>
      </c>
      <c r="C92" s="62">
        <v>2.0000000000000001E-4</v>
      </c>
      <c r="D92" s="63">
        <f>C92*$D$29</f>
        <v>0.52</v>
      </c>
    </row>
    <row r="93" spans="1:5" ht="39" thickBot="1" x14ac:dyDescent="0.25">
      <c r="A93" s="54" t="s">
        <v>6</v>
      </c>
      <c r="B93" s="58" t="s">
        <v>384</v>
      </c>
      <c r="C93" s="273">
        <f>C52*SUM(C88:C92)</f>
        <v>3.6600000000000001E-2</v>
      </c>
      <c r="D93" s="63">
        <f t="shared" ref="D93" si="8">C93*$D$29</f>
        <v>94.28</v>
      </c>
      <c r="E93" s="294"/>
    </row>
    <row r="94" spans="1:5" ht="13.5" thickBot="1" x14ac:dyDescent="0.25">
      <c r="A94" s="341" t="s">
        <v>63</v>
      </c>
      <c r="B94" s="342"/>
      <c r="C94" s="64">
        <f t="shared" ref="C94:D94" si="9">SUM(C88:C93)</f>
        <v>0.13619999999999999</v>
      </c>
      <c r="D94" s="61">
        <f t="shared" si="9"/>
        <v>350.72</v>
      </c>
    </row>
    <row r="95" spans="1:5" ht="36.75" customHeight="1" thickBot="1" x14ac:dyDescent="0.25">
      <c r="A95" s="357" t="s">
        <v>153</v>
      </c>
      <c r="B95" s="357"/>
      <c r="C95" s="357"/>
      <c r="D95" s="357"/>
    </row>
    <row r="96" spans="1:5" ht="15.75" customHeight="1" thickBot="1" x14ac:dyDescent="0.25">
      <c r="A96" s="344" t="s">
        <v>101</v>
      </c>
      <c r="B96" s="345"/>
      <c r="C96" s="345"/>
      <c r="D96" s="346"/>
    </row>
    <row r="97" spans="1:4" ht="15.75" customHeight="1" thickBot="1" x14ac:dyDescent="0.25">
      <c r="A97" s="52" t="s">
        <v>21</v>
      </c>
      <c r="B97" s="341" t="s">
        <v>102</v>
      </c>
      <c r="C97" s="343"/>
      <c r="D97" s="53" t="s">
        <v>88</v>
      </c>
    </row>
    <row r="98" spans="1:4" ht="15" customHeight="1" thickBot="1" x14ac:dyDescent="0.25">
      <c r="A98" s="54" t="s">
        <v>1</v>
      </c>
      <c r="B98" s="339" t="s">
        <v>157</v>
      </c>
      <c r="C98" s="340"/>
      <c r="D98" s="55">
        <v>0</v>
      </c>
    </row>
    <row r="99" spans="1:4" ht="15.75" customHeight="1" thickBot="1" x14ac:dyDescent="0.25">
      <c r="A99" s="341" t="s">
        <v>89</v>
      </c>
      <c r="B99" s="342"/>
      <c r="C99" s="343"/>
      <c r="D99" s="55">
        <f>SUM(D98)</f>
        <v>0</v>
      </c>
    </row>
    <row r="100" spans="1:4" ht="13.5" thickBot="1" x14ac:dyDescent="0.25">
      <c r="A100" s="48"/>
      <c r="B100" s="49"/>
      <c r="C100" s="50"/>
      <c r="D100" s="51"/>
    </row>
    <row r="101" spans="1:4" ht="13.5" thickBot="1" x14ac:dyDescent="0.25">
      <c r="A101" s="344" t="s">
        <v>103</v>
      </c>
      <c r="B101" s="345"/>
      <c r="C101" s="345"/>
      <c r="D101" s="346"/>
    </row>
    <row r="102" spans="1:4" ht="13.5" thickBot="1" x14ac:dyDescent="0.25">
      <c r="A102" s="52">
        <v>4</v>
      </c>
      <c r="B102" s="341" t="s">
        <v>104</v>
      </c>
      <c r="C102" s="343"/>
      <c r="D102" s="53" t="s">
        <v>88</v>
      </c>
    </row>
    <row r="103" spans="1:4" ht="15" customHeight="1" thickBot="1" x14ac:dyDescent="0.25">
      <c r="A103" s="54" t="s">
        <v>20</v>
      </c>
      <c r="B103" s="339" t="s">
        <v>96</v>
      </c>
      <c r="C103" s="340"/>
      <c r="D103" s="55">
        <f>D94</f>
        <v>350.72</v>
      </c>
    </row>
    <row r="104" spans="1:4" ht="15.75" customHeight="1" thickBot="1" x14ac:dyDescent="0.25">
      <c r="A104" s="54" t="s">
        <v>21</v>
      </c>
      <c r="B104" s="339" t="s">
        <v>102</v>
      </c>
      <c r="C104" s="340"/>
      <c r="D104" s="55">
        <f>D99</f>
        <v>0</v>
      </c>
    </row>
    <row r="105" spans="1:4" ht="15.75" customHeight="1" thickBot="1" x14ac:dyDescent="0.25">
      <c r="A105" s="341" t="s">
        <v>89</v>
      </c>
      <c r="B105" s="342"/>
      <c r="C105" s="343"/>
      <c r="D105" s="61">
        <f>SUM(D103:D104)</f>
        <v>350.72</v>
      </c>
    </row>
    <row r="106" spans="1:4" ht="15.75" customHeight="1" thickBot="1" x14ac:dyDescent="0.25">
      <c r="A106" s="48"/>
      <c r="B106" s="49"/>
      <c r="C106" s="50"/>
      <c r="D106" s="51"/>
    </row>
    <row r="107" spans="1:4" ht="15.75" customHeight="1" thickBot="1" x14ac:dyDescent="0.25">
      <c r="A107" s="344" t="s">
        <v>105</v>
      </c>
      <c r="B107" s="345"/>
      <c r="C107" s="345"/>
      <c r="D107" s="346"/>
    </row>
    <row r="108" spans="1:4" ht="15.75" customHeight="1" thickBot="1" x14ac:dyDescent="0.25">
      <c r="A108" s="52">
        <v>5</v>
      </c>
      <c r="B108" s="341" t="s">
        <v>18</v>
      </c>
      <c r="C108" s="343"/>
      <c r="D108" s="53" t="s">
        <v>88</v>
      </c>
    </row>
    <row r="109" spans="1:4" ht="13.5" thickBot="1" x14ac:dyDescent="0.25">
      <c r="A109" s="54" t="s">
        <v>1</v>
      </c>
      <c r="B109" s="339" t="s">
        <v>19</v>
      </c>
      <c r="C109" s="340"/>
      <c r="D109" s="55">
        <f>Uniformes!C16</f>
        <v>46.81</v>
      </c>
    </row>
    <row r="110" spans="1:4" ht="13.5" thickBot="1" x14ac:dyDescent="0.25">
      <c r="A110" s="54" t="s">
        <v>2</v>
      </c>
      <c r="B110" s="339" t="s">
        <v>27</v>
      </c>
      <c r="C110" s="340"/>
      <c r="D110" s="55">
        <v>0</v>
      </c>
    </row>
    <row r="111" spans="1:4" ht="13.5" thickBot="1" x14ac:dyDescent="0.25">
      <c r="A111" s="54" t="s">
        <v>3</v>
      </c>
      <c r="B111" s="339" t="s">
        <v>140</v>
      </c>
      <c r="C111" s="340"/>
      <c r="D111" s="55">
        <v>0</v>
      </c>
    </row>
    <row r="112" spans="1:4" ht="15" customHeight="1" thickBot="1" x14ac:dyDescent="0.25">
      <c r="A112" s="54" t="s">
        <v>4</v>
      </c>
      <c r="B112" s="339" t="s">
        <v>8</v>
      </c>
      <c r="C112" s="340"/>
      <c r="D112" s="55">
        <v>0</v>
      </c>
    </row>
    <row r="113" spans="1:5" ht="15.75" customHeight="1" thickBot="1" x14ac:dyDescent="0.25">
      <c r="A113" s="341" t="s">
        <v>63</v>
      </c>
      <c r="B113" s="342"/>
      <c r="C113" s="343"/>
      <c r="D113" s="56">
        <f>SUM(D109:D112)</f>
        <v>46.81</v>
      </c>
    </row>
    <row r="114" spans="1:5" ht="13.5" thickBot="1" x14ac:dyDescent="0.25">
      <c r="A114" s="48"/>
      <c r="B114" s="49"/>
      <c r="C114" s="50"/>
      <c r="D114" s="51"/>
    </row>
    <row r="115" spans="1:5" ht="15.75" customHeight="1" thickBot="1" x14ac:dyDescent="0.25">
      <c r="A115" s="344" t="s">
        <v>106</v>
      </c>
      <c r="B115" s="345"/>
      <c r="C115" s="345"/>
      <c r="D115" s="346"/>
    </row>
    <row r="116" spans="1:5" ht="18" customHeight="1" thickBot="1" x14ac:dyDescent="0.25">
      <c r="A116" s="52">
        <v>6</v>
      </c>
      <c r="B116" s="65" t="s">
        <v>24</v>
      </c>
      <c r="C116" s="285" t="s">
        <v>0</v>
      </c>
      <c r="D116" s="53" t="s">
        <v>88</v>
      </c>
    </row>
    <row r="117" spans="1:5" ht="15.75" customHeight="1" thickBot="1" x14ac:dyDescent="0.25">
      <c r="A117" s="54" t="s">
        <v>1</v>
      </c>
      <c r="B117" s="66" t="s">
        <v>25</v>
      </c>
      <c r="C117" s="62">
        <v>0.05</v>
      </c>
      <c r="D117" s="55">
        <f>C117*D135</f>
        <v>283.61</v>
      </c>
    </row>
    <row r="118" spans="1:5" ht="13.5" thickBot="1" x14ac:dyDescent="0.25">
      <c r="A118" s="54" t="s">
        <v>2</v>
      </c>
      <c r="B118" s="66" t="s">
        <v>108</v>
      </c>
      <c r="C118" s="62">
        <v>3.0499999999999999E-2</v>
      </c>
      <c r="D118" s="55">
        <f>(D117+D135)*C118</f>
        <v>181.65</v>
      </c>
    </row>
    <row r="119" spans="1:5" ht="13.5" thickBot="1" x14ac:dyDescent="0.25">
      <c r="A119" s="54" t="s">
        <v>3</v>
      </c>
      <c r="B119" s="66" t="s">
        <v>109</v>
      </c>
      <c r="C119" s="62">
        <f>C120+C121+C122</f>
        <v>0.14249999999999999</v>
      </c>
      <c r="D119" s="55">
        <f>((D117+D118+D135)/(1-C119))*C119</f>
        <v>1019.92</v>
      </c>
      <c r="E119" s="97"/>
    </row>
    <row r="120" spans="1:5" ht="13.5" thickBot="1" x14ac:dyDescent="0.25">
      <c r="A120" s="54"/>
      <c r="B120" s="66" t="s">
        <v>110</v>
      </c>
      <c r="C120" s="62">
        <v>9.2499999999999999E-2</v>
      </c>
      <c r="D120" s="55">
        <f>D137*C120</f>
        <v>662.05</v>
      </c>
    </row>
    <row r="121" spans="1:5" ht="13.5" thickBot="1" x14ac:dyDescent="0.25">
      <c r="A121" s="54"/>
      <c r="B121" s="66" t="s">
        <v>111</v>
      </c>
      <c r="C121" s="67">
        <v>0.05</v>
      </c>
      <c r="D121" s="55">
        <f>C121*D137</f>
        <v>357.87</v>
      </c>
    </row>
    <row r="122" spans="1:5" ht="13.5" thickBot="1" x14ac:dyDescent="0.25">
      <c r="A122" s="54"/>
      <c r="B122" s="66" t="s">
        <v>112</v>
      </c>
      <c r="C122" s="67">
        <v>0</v>
      </c>
      <c r="D122" s="55">
        <f>C122*D137</f>
        <v>0</v>
      </c>
    </row>
    <row r="123" spans="1:5" ht="13.5" thickBot="1" x14ac:dyDescent="0.25">
      <c r="A123" s="341" t="s">
        <v>63</v>
      </c>
      <c r="B123" s="343"/>
      <c r="C123" s="64">
        <f>C119+C117+C118</f>
        <v>0.223</v>
      </c>
      <c r="D123" s="53">
        <f>SUM(D117,D118,D119)</f>
        <v>1485.18</v>
      </c>
    </row>
    <row r="124" spans="1:5" x14ac:dyDescent="0.2">
      <c r="A124" s="79" t="s">
        <v>148</v>
      </c>
      <c r="B124" s="49"/>
      <c r="C124" s="50"/>
      <c r="D124" s="51"/>
    </row>
    <row r="125" spans="1:5" ht="21.75" customHeight="1" x14ac:dyDescent="0.2">
      <c r="A125" s="351" t="s">
        <v>149</v>
      </c>
      <c r="B125" s="351"/>
      <c r="C125" s="351"/>
      <c r="D125" s="351"/>
    </row>
    <row r="126" spans="1:5" x14ac:dyDescent="0.2">
      <c r="A126" s="79" t="s">
        <v>150</v>
      </c>
      <c r="B126" s="49"/>
      <c r="C126" s="50"/>
      <c r="D126" s="51"/>
    </row>
    <row r="127" spans="1:5" ht="13.5" thickBot="1" x14ac:dyDescent="0.25">
      <c r="A127" s="48"/>
      <c r="B127" s="49"/>
      <c r="C127" s="50"/>
      <c r="D127" s="51"/>
    </row>
    <row r="128" spans="1:5" ht="15" customHeight="1" thickBot="1" x14ac:dyDescent="0.25">
      <c r="A128" s="344" t="s">
        <v>113</v>
      </c>
      <c r="B128" s="345"/>
      <c r="C128" s="345"/>
      <c r="D128" s="346"/>
    </row>
    <row r="129" spans="1:4" ht="21.75" customHeight="1" thickBot="1" x14ac:dyDescent="0.25">
      <c r="A129" s="52"/>
      <c r="B129" s="349" t="s">
        <v>114</v>
      </c>
      <c r="C129" s="350"/>
      <c r="D129" s="53" t="s">
        <v>88</v>
      </c>
    </row>
    <row r="130" spans="1:4" ht="15.75" customHeight="1" thickBot="1" x14ac:dyDescent="0.25">
      <c r="A130" s="68" t="s">
        <v>1</v>
      </c>
      <c r="B130" s="347" t="s">
        <v>26</v>
      </c>
      <c r="C130" s="348"/>
      <c r="D130" s="55">
        <f>D29</f>
        <v>2575.91</v>
      </c>
    </row>
    <row r="131" spans="1:4" ht="15.75" customHeight="1" thickBot="1" x14ac:dyDescent="0.25">
      <c r="A131" s="68" t="s">
        <v>2</v>
      </c>
      <c r="B131" s="339" t="s">
        <v>56</v>
      </c>
      <c r="C131" s="340"/>
      <c r="D131" s="55">
        <f>D74</f>
        <v>2527.66</v>
      </c>
    </row>
    <row r="132" spans="1:4" ht="13.5" thickBot="1" x14ac:dyDescent="0.25">
      <c r="A132" s="68" t="s">
        <v>3</v>
      </c>
      <c r="B132" s="339" t="s">
        <v>90</v>
      </c>
      <c r="C132" s="340"/>
      <c r="D132" s="55">
        <f>D83</f>
        <v>171.04</v>
      </c>
    </row>
    <row r="133" spans="1:4" ht="15.75" customHeight="1" thickBot="1" x14ac:dyDescent="0.25">
      <c r="A133" s="68" t="s">
        <v>4</v>
      </c>
      <c r="B133" s="339" t="s">
        <v>94</v>
      </c>
      <c r="C133" s="340"/>
      <c r="D133" s="55">
        <f>D105</f>
        <v>350.72</v>
      </c>
    </row>
    <row r="134" spans="1:4" ht="15" customHeight="1" thickBot="1" x14ac:dyDescent="0.25">
      <c r="A134" s="68" t="s">
        <v>5</v>
      </c>
      <c r="B134" s="339" t="s">
        <v>105</v>
      </c>
      <c r="C134" s="340"/>
      <c r="D134" s="55">
        <f>D113</f>
        <v>46.81</v>
      </c>
    </row>
    <row r="135" spans="1:4" ht="13.5" thickBot="1" x14ac:dyDescent="0.25">
      <c r="A135" s="341" t="s">
        <v>115</v>
      </c>
      <c r="B135" s="342"/>
      <c r="C135" s="343"/>
      <c r="D135" s="55">
        <f>SUM(D130:D134)</f>
        <v>5672.14</v>
      </c>
    </row>
    <row r="136" spans="1:4" ht="14.25" customHeight="1" thickBot="1" x14ac:dyDescent="0.25">
      <c r="A136" s="68" t="s">
        <v>6</v>
      </c>
      <c r="B136" s="347" t="s">
        <v>116</v>
      </c>
      <c r="C136" s="348"/>
      <c r="D136" s="69">
        <f>D123</f>
        <v>1485.18</v>
      </c>
    </row>
    <row r="137" spans="1:4" ht="15" customHeight="1" thickBot="1" x14ac:dyDescent="0.25">
      <c r="A137" s="341" t="s">
        <v>117</v>
      </c>
      <c r="B137" s="342"/>
      <c r="C137" s="343"/>
      <c r="D137" s="70">
        <f>ROUND((D135+D136),2)</f>
        <v>7157.32</v>
      </c>
    </row>
    <row r="138" spans="1:4" ht="21" customHeight="1" x14ac:dyDescent="0.2">
      <c r="A138" s="369"/>
      <c r="B138" s="369"/>
      <c r="C138" s="369"/>
      <c r="D138" s="369"/>
    </row>
    <row r="139" spans="1:4" ht="15" customHeight="1" x14ac:dyDescent="0.2"/>
    <row r="140" spans="1:4" ht="15" customHeight="1" x14ac:dyDescent="0.2"/>
    <row r="142" spans="1:4" ht="15" customHeight="1" x14ac:dyDescent="0.2"/>
    <row r="143" spans="1:4" ht="14.25" customHeight="1" x14ac:dyDescent="0.2"/>
  </sheetData>
  <mergeCells count="86">
    <mergeCell ref="A39:D39"/>
    <mergeCell ref="A40:D40"/>
    <mergeCell ref="A41:D41"/>
    <mergeCell ref="A84:D84"/>
    <mergeCell ref="A68:D68"/>
    <mergeCell ref="B70:C70"/>
    <mergeCell ref="B71:C71"/>
    <mergeCell ref="B72:C72"/>
    <mergeCell ref="B73:C73"/>
    <mergeCell ref="A74:C74"/>
    <mergeCell ref="B59:C59"/>
    <mergeCell ref="B62:C62"/>
    <mergeCell ref="B63:C63"/>
    <mergeCell ref="A66:C66"/>
    <mergeCell ref="A69:D69"/>
    <mergeCell ref="A42:D42"/>
    <mergeCell ref="A138:D138"/>
    <mergeCell ref="A6:D6"/>
    <mergeCell ref="A7:D7"/>
    <mergeCell ref="B13:C13"/>
    <mergeCell ref="B21:C21"/>
    <mergeCell ref="B22:C22"/>
    <mergeCell ref="B24:C24"/>
    <mergeCell ref="A14:D14"/>
    <mergeCell ref="C15:D15"/>
    <mergeCell ref="A8:D8"/>
    <mergeCell ref="A9:D9"/>
    <mergeCell ref="B10:C10"/>
    <mergeCell ref="B11:C11"/>
    <mergeCell ref="B12:C12"/>
    <mergeCell ref="A75:D75"/>
    <mergeCell ref="A83:B83"/>
    <mergeCell ref="A1:D1"/>
    <mergeCell ref="A2:D2"/>
    <mergeCell ref="A3:D3"/>
    <mergeCell ref="A4:D4"/>
    <mergeCell ref="A5:D5"/>
    <mergeCell ref="B16:C16"/>
    <mergeCell ref="B17:C17"/>
    <mergeCell ref="B19:C19"/>
    <mergeCell ref="A20:D20"/>
    <mergeCell ref="B26:C26"/>
    <mergeCell ref="B27:C27"/>
    <mergeCell ref="B28:C28"/>
    <mergeCell ref="A29:C29"/>
    <mergeCell ref="A31:D31"/>
    <mergeCell ref="A32:D32"/>
    <mergeCell ref="A52:B52"/>
    <mergeCell ref="A56:D56"/>
    <mergeCell ref="B57:C57"/>
    <mergeCell ref="B58:C58"/>
    <mergeCell ref="B104:C104"/>
    <mergeCell ref="A86:D86"/>
    <mergeCell ref="A94:B94"/>
    <mergeCell ref="A96:D96"/>
    <mergeCell ref="B97:C97"/>
    <mergeCell ref="B98:C98"/>
    <mergeCell ref="A95:D95"/>
    <mergeCell ref="B136:C136"/>
    <mergeCell ref="A137:C137"/>
    <mergeCell ref="A115:D115"/>
    <mergeCell ref="A123:B123"/>
    <mergeCell ref="A128:D128"/>
    <mergeCell ref="B129:C129"/>
    <mergeCell ref="B130:C130"/>
    <mergeCell ref="B131:C131"/>
    <mergeCell ref="B132:C132"/>
    <mergeCell ref="B133:C133"/>
    <mergeCell ref="B134:C134"/>
    <mergeCell ref="A125:D125"/>
    <mergeCell ref="A36:B36"/>
    <mergeCell ref="A38:C38"/>
    <mergeCell ref="B110:C110"/>
    <mergeCell ref="B111:C111"/>
    <mergeCell ref="A135:C135"/>
    <mergeCell ref="B112:C112"/>
    <mergeCell ref="A113:C113"/>
    <mergeCell ref="A105:C105"/>
    <mergeCell ref="A107:D107"/>
    <mergeCell ref="B108:C108"/>
    <mergeCell ref="B109:C109"/>
    <mergeCell ref="A85:D85"/>
    <mergeCell ref="A99:C99"/>
    <mergeCell ref="A101:D101"/>
    <mergeCell ref="B102:C102"/>
    <mergeCell ref="B103:C103"/>
  </mergeCells>
  <pageMargins left="0.51181102362204722" right="0.51181102362204722" top="1.1811023622047245" bottom="0.78740157480314965" header="0.31496062992125984" footer="0.31496062992125984"/>
  <pageSetup paperSize="9" scale="63" fitToHeight="0" orientation="portrait" r:id="rId1"/>
  <headerFooter>
    <oddHeader>&amp;L&amp;8MINISTÉRIO DA EDUCAÇÃO
SECRETARIA EXECUTIVA
SUBSECRETARIA DE ASSUNTOS ADMINISTRATIVOS
COORDENAÇÃO GERAL DE COMPRAS E CONTRATOS
COORDENAÇÃO DE GESTÃO DE CONTRATOS
Divisão de Contratação e Análise de reajustes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3"/>
  <sheetViews>
    <sheetView showGridLines="0" topLeftCell="A121" workbookViewId="0">
      <selection activeCell="F91" sqref="F91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16384" width="9.140625" style="13"/>
  </cols>
  <sheetData>
    <row r="1" spans="1:4" ht="12.75" customHeight="1" x14ac:dyDescent="0.2">
      <c r="A1" s="367" t="s">
        <v>28</v>
      </c>
      <c r="B1" s="368"/>
      <c r="C1" s="368"/>
      <c r="D1" s="368"/>
    </row>
    <row r="2" spans="1:4" ht="12.75" customHeight="1" x14ac:dyDescent="0.2">
      <c r="A2" s="367" t="s">
        <v>29</v>
      </c>
      <c r="B2" s="368"/>
      <c r="C2" s="368"/>
      <c r="D2" s="368"/>
    </row>
    <row r="3" spans="1:4" ht="12.75" customHeight="1" x14ac:dyDescent="0.2">
      <c r="A3" s="367" t="s">
        <v>171</v>
      </c>
      <c r="B3" s="368"/>
      <c r="C3" s="368"/>
      <c r="D3" s="368"/>
    </row>
    <row r="4" spans="1:4" ht="15" customHeight="1" x14ac:dyDescent="0.2">
      <c r="A4" s="367" t="s">
        <v>172</v>
      </c>
      <c r="B4" s="368"/>
      <c r="C4" s="368"/>
      <c r="D4" s="368"/>
    </row>
    <row r="5" spans="1:4" ht="3.75" customHeight="1" x14ac:dyDescent="0.2">
      <c r="A5" s="367"/>
      <c r="B5" s="368"/>
      <c r="C5" s="368"/>
      <c r="D5" s="368"/>
    </row>
    <row r="6" spans="1:4" ht="13.5" thickBot="1" x14ac:dyDescent="0.25">
      <c r="A6" s="370" t="s">
        <v>30</v>
      </c>
      <c r="B6" s="371"/>
      <c r="C6" s="371"/>
      <c r="D6" s="371"/>
    </row>
    <row r="7" spans="1:4" x14ac:dyDescent="0.2">
      <c r="A7" s="372" t="s">
        <v>130</v>
      </c>
      <c r="B7" s="373"/>
      <c r="C7" s="373"/>
      <c r="D7" s="374"/>
    </row>
    <row r="8" spans="1:4" ht="13.5" customHeight="1" thickBot="1" x14ac:dyDescent="0.25">
      <c r="A8" s="370" t="s">
        <v>131</v>
      </c>
      <c r="B8" s="371"/>
      <c r="C8" s="371"/>
      <c r="D8" s="382"/>
    </row>
    <row r="9" spans="1:4" ht="13.5" thickBot="1" x14ac:dyDescent="0.25">
      <c r="A9" s="383" t="s">
        <v>14</v>
      </c>
      <c r="B9" s="384"/>
      <c r="C9" s="384"/>
      <c r="D9" s="384"/>
    </row>
    <row r="10" spans="1:4" x14ac:dyDescent="0.2">
      <c r="A10" s="3" t="s">
        <v>31</v>
      </c>
      <c r="B10" s="385" t="s">
        <v>32</v>
      </c>
      <c r="C10" s="385"/>
      <c r="D10" s="4" t="s">
        <v>375</v>
      </c>
    </row>
    <row r="11" spans="1:4" x14ac:dyDescent="0.2">
      <c r="A11" s="5" t="s">
        <v>33</v>
      </c>
      <c r="B11" s="386" t="s">
        <v>34</v>
      </c>
      <c r="C11" s="386"/>
      <c r="D11" s="6" t="s">
        <v>35</v>
      </c>
    </row>
    <row r="12" spans="1:4" ht="25.5" x14ac:dyDescent="0.2">
      <c r="A12" s="5" t="s">
        <v>36</v>
      </c>
      <c r="B12" s="387" t="s">
        <v>37</v>
      </c>
      <c r="C12" s="388"/>
      <c r="D12" s="115" t="s">
        <v>399</v>
      </c>
    </row>
    <row r="13" spans="1:4" ht="13.5" thickBot="1" x14ac:dyDescent="0.25">
      <c r="A13" s="7" t="s">
        <v>4</v>
      </c>
      <c r="B13" s="375" t="s">
        <v>38</v>
      </c>
      <c r="C13" s="375"/>
      <c r="D13" s="8">
        <v>12</v>
      </c>
    </row>
    <row r="14" spans="1:4" ht="13.5" thickBot="1" x14ac:dyDescent="0.25">
      <c r="A14" s="378" t="s">
        <v>39</v>
      </c>
      <c r="B14" s="379"/>
      <c r="C14" s="379"/>
      <c r="D14" s="379"/>
    </row>
    <row r="15" spans="1:4" ht="25.5" x14ac:dyDescent="0.2">
      <c r="A15" s="121">
        <v>1</v>
      </c>
      <c r="B15" s="123" t="s">
        <v>40</v>
      </c>
      <c r="C15" s="380" t="s">
        <v>169</v>
      </c>
      <c r="D15" s="381"/>
    </row>
    <row r="16" spans="1:4" x14ac:dyDescent="0.2">
      <c r="A16" s="17">
        <v>2</v>
      </c>
      <c r="B16" s="397" t="s">
        <v>15</v>
      </c>
      <c r="C16" s="355"/>
      <c r="D16" s="11">
        <v>1287.96</v>
      </c>
    </row>
    <row r="17" spans="1:4" x14ac:dyDescent="0.2">
      <c r="A17" s="17">
        <v>3</v>
      </c>
      <c r="B17" s="398" t="s">
        <v>41</v>
      </c>
      <c r="C17" s="399"/>
      <c r="D17" s="119" t="s">
        <v>377</v>
      </c>
    </row>
    <row r="18" spans="1:4" x14ac:dyDescent="0.2">
      <c r="A18" s="21">
        <v>4</v>
      </c>
      <c r="B18" s="400" t="s">
        <v>132</v>
      </c>
      <c r="C18" s="401"/>
      <c r="D18" s="124" t="s">
        <v>386</v>
      </c>
    </row>
    <row r="19" spans="1:4" ht="13.5" thickBot="1" x14ac:dyDescent="0.25">
      <c r="A19" s="122">
        <v>5</v>
      </c>
      <c r="B19" s="395" t="s">
        <v>42</v>
      </c>
      <c r="C19" s="396"/>
      <c r="D19" s="120">
        <v>44197</v>
      </c>
    </row>
    <row r="20" spans="1:4" ht="13.5" thickBot="1" x14ac:dyDescent="0.25">
      <c r="A20" s="365" t="s">
        <v>26</v>
      </c>
      <c r="B20" s="366"/>
      <c r="C20" s="366"/>
      <c r="D20" s="366"/>
    </row>
    <row r="21" spans="1:4" ht="13.5" thickBot="1" x14ac:dyDescent="0.25">
      <c r="A21" s="287">
        <v>1</v>
      </c>
      <c r="B21" s="376" t="s">
        <v>43</v>
      </c>
      <c r="C21" s="377"/>
      <c r="D21" s="14" t="s">
        <v>44</v>
      </c>
    </row>
    <row r="22" spans="1:4" x14ac:dyDescent="0.2">
      <c r="A22" s="15" t="s">
        <v>31</v>
      </c>
      <c r="B22" s="356" t="s">
        <v>45</v>
      </c>
      <c r="C22" s="356"/>
      <c r="D22" s="16">
        <f>D16</f>
        <v>1287.96</v>
      </c>
    </row>
    <row r="23" spans="1:4" x14ac:dyDescent="0.2">
      <c r="A23" s="17" t="s">
        <v>33</v>
      </c>
      <c r="B23" s="286" t="s">
        <v>16</v>
      </c>
      <c r="C23" s="18">
        <v>0</v>
      </c>
      <c r="D23" s="19">
        <f t="shared" ref="D23" si="0">C23*D22</f>
        <v>0</v>
      </c>
    </row>
    <row r="24" spans="1:4" x14ac:dyDescent="0.2">
      <c r="A24" s="17" t="s">
        <v>36</v>
      </c>
      <c r="B24" s="358" t="s">
        <v>46</v>
      </c>
      <c r="C24" s="358"/>
      <c r="D24" s="19">
        <v>0</v>
      </c>
    </row>
    <row r="25" spans="1:4" x14ac:dyDescent="0.2">
      <c r="A25" s="17" t="s">
        <v>47</v>
      </c>
      <c r="B25" s="286" t="s">
        <v>48</v>
      </c>
      <c r="C25" s="20">
        <v>0</v>
      </c>
      <c r="D25" s="19">
        <v>0</v>
      </c>
    </row>
    <row r="26" spans="1:4" x14ac:dyDescent="0.2">
      <c r="A26" s="17" t="s">
        <v>49</v>
      </c>
      <c r="B26" s="358" t="s">
        <v>50</v>
      </c>
      <c r="C26" s="358"/>
      <c r="D26" s="19">
        <f t="shared" ref="D26" si="1">D22/220*0.2*0*15</f>
        <v>0</v>
      </c>
    </row>
    <row r="27" spans="1:4" x14ac:dyDescent="0.2">
      <c r="A27" s="17" t="s">
        <v>51</v>
      </c>
      <c r="B27" s="358" t="s">
        <v>52</v>
      </c>
      <c r="C27" s="358"/>
      <c r="D27" s="19">
        <v>0</v>
      </c>
    </row>
    <row r="28" spans="1:4" x14ac:dyDescent="0.2">
      <c r="A28" s="21" t="s">
        <v>53</v>
      </c>
      <c r="B28" s="359" t="s">
        <v>54</v>
      </c>
      <c r="C28" s="359"/>
      <c r="D28" s="22">
        <v>0</v>
      </c>
    </row>
    <row r="29" spans="1:4" ht="13.5" thickBot="1" x14ac:dyDescent="0.25">
      <c r="A29" s="352" t="s">
        <v>55</v>
      </c>
      <c r="B29" s="360"/>
      <c r="C29" s="353"/>
      <c r="D29" s="23">
        <f t="shared" ref="D29" si="2">ROUND(SUM(D22:D28),2)</f>
        <v>1287.96</v>
      </c>
    </row>
    <row r="30" spans="1:4" ht="13.5" thickBot="1" x14ac:dyDescent="0.25">
      <c r="A30" s="289" t="s">
        <v>141</v>
      </c>
      <c r="B30" s="77"/>
      <c r="C30" s="24"/>
      <c r="D30" s="25"/>
    </row>
    <row r="31" spans="1:4" ht="13.5" thickBot="1" x14ac:dyDescent="0.25">
      <c r="A31" s="344" t="s">
        <v>56</v>
      </c>
      <c r="B31" s="345"/>
      <c r="C31" s="345"/>
      <c r="D31" s="346"/>
    </row>
    <row r="32" spans="1:4" ht="13.5" thickBot="1" x14ac:dyDescent="0.25">
      <c r="A32" s="344" t="s">
        <v>57</v>
      </c>
      <c r="B32" s="345"/>
      <c r="C32" s="345"/>
      <c r="D32" s="346"/>
    </row>
    <row r="33" spans="1:5" ht="13.5" thickBot="1" x14ac:dyDescent="0.25">
      <c r="A33" s="27" t="s">
        <v>58</v>
      </c>
      <c r="B33" s="28" t="s">
        <v>59</v>
      </c>
      <c r="C33" s="29" t="s">
        <v>60</v>
      </c>
      <c r="D33" s="30" t="s">
        <v>44</v>
      </c>
    </row>
    <row r="34" spans="1:5" x14ac:dyDescent="0.2">
      <c r="A34" s="9" t="s">
        <v>31</v>
      </c>
      <c r="B34" s="31" t="s">
        <v>61</v>
      </c>
      <c r="C34" s="32">
        <v>8.3299999999999999E-2</v>
      </c>
      <c r="D34" s="11">
        <f>ROUND(D$29*C34,2)</f>
        <v>107.29</v>
      </c>
    </row>
    <row r="35" spans="1:5" x14ac:dyDescent="0.2">
      <c r="A35" s="10" t="s">
        <v>33</v>
      </c>
      <c r="B35" s="33" t="s">
        <v>62</v>
      </c>
      <c r="C35" s="34">
        <v>0.121</v>
      </c>
      <c r="D35" s="11">
        <f t="shared" ref="D35" si="3">ROUND(D$29*C35,2)</f>
        <v>155.84</v>
      </c>
    </row>
    <row r="36" spans="1:5" ht="13.5" thickBot="1" x14ac:dyDescent="0.25">
      <c r="A36" s="335" t="s">
        <v>164</v>
      </c>
      <c r="B36" s="336"/>
      <c r="C36" s="82">
        <f>SUM(A34:C35)</f>
        <v>0.20430000000000001</v>
      </c>
      <c r="D36" s="11">
        <f>SUM(D34:D35)</f>
        <v>263.13</v>
      </c>
    </row>
    <row r="37" spans="1:5" ht="25.5" x14ac:dyDescent="0.2">
      <c r="A37" s="1" t="s">
        <v>3</v>
      </c>
      <c r="B37" s="83" t="s">
        <v>165</v>
      </c>
      <c r="C37" s="84">
        <f>C36*C52</f>
        <v>7.5200000000000003E-2</v>
      </c>
      <c r="D37" s="11">
        <f>ROUND(D$29*C37,2)</f>
        <v>96.85</v>
      </c>
      <c r="E37" s="96"/>
    </row>
    <row r="38" spans="1:5" x14ac:dyDescent="0.2">
      <c r="A38" s="337" t="s">
        <v>63</v>
      </c>
      <c r="B38" s="338"/>
      <c r="C38" s="338"/>
      <c r="D38" s="11">
        <f>SUM(D36:D37)</f>
        <v>359.98</v>
      </c>
    </row>
    <row r="39" spans="1:5" ht="31.5" customHeight="1" x14ac:dyDescent="0.2">
      <c r="A39" s="389" t="s">
        <v>151</v>
      </c>
      <c r="B39" s="389"/>
      <c r="C39" s="389"/>
      <c r="D39" s="389"/>
    </row>
    <row r="40" spans="1:5" ht="22.5" customHeight="1" x14ac:dyDescent="0.2">
      <c r="A40" s="389" t="s">
        <v>142</v>
      </c>
      <c r="B40" s="389"/>
      <c r="C40" s="389"/>
      <c r="D40" s="389"/>
    </row>
    <row r="41" spans="1:5" ht="33" customHeight="1" thickBot="1" x14ac:dyDescent="0.25">
      <c r="A41" s="390" t="s">
        <v>152</v>
      </c>
      <c r="B41" s="390"/>
      <c r="C41" s="390"/>
      <c r="D41" s="390"/>
    </row>
    <row r="42" spans="1:5" ht="24.75" customHeight="1" thickBot="1" x14ac:dyDescent="0.25">
      <c r="A42" s="349" t="s">
        <v>64</v>
      </c>
      <c r="B42" s="394"/>
      <c r="C42" s="394"/>
      <c r="D42" s="350"/>
    </row>
    <row r="43" spans="1:5" ht="13.5" thickBot="1" x14ac:dyDescent="0.25">
      <c r="A43" s="27" t="s">
        <v>65</v>
      </c>
      <c r="B43" s="285" t="s">
        <v>66</v>
      </c>
      <c r="C43" s="29" t="s">
        <v>60</v>
      </c>
      <c r="D43" s="30" t="s">
        <v>44</v>
      </c>
    </row>
    <row r="44" spans="1:5" x14ac:dyDescent="0.2">
      <c r="A44" s="9" t="s">
        <v>31</v>
      </c>
      <c r="B44" s="31" t="s">
        <v>67</v>
      </c>
      <c r="C44" s="32">
        <v>0.2</v>
      </c>
      <c r="D44" s="11">
        <f>ROUND(D$29*C44,2)</f>
        <v>257.58999999999997</v>
      </c>
    </row>
    <row r="45" spans="1:5" x14ac:dyDescent="0.2">
      <c r="A45" s="10" t="s">
        <v>33</v>
      </c>
      <c r="B45" s="33" t="s">
        <v>68</v>
      </c>
      <c r="C45" s="34">
        <v>2.5000000000000001E-2</v>
      </c>
      <c r="D45" s="11">
        <f t="shared" ref="D45:D51" si="4">ROUND(D$29*C45,2)</f>
        <v>32.200000000000003</v>
      </c>
    </row>
    <row r="46" spans="1:5" x14ac:dyDescent="0.2">
      <c r="A46" s="10" t="s">
        <v>36</v>
      </c>
      <c r="B46" s="33" t="s">
        <v>69</v>
      </c>
      <c r="C46" s="98">
        <v>0.03</v>
      </c>
      <c r="D46" s="11">
        <f t="shared" si="4"/>
        <v>38.64</v>
      </c>
    </row>
    <row r="47" spans="1:5" x14ac:dyDescent="0.2">
      <c r="A47" s="10" t="s">
        <v>47</v>
      </c>
      <c r="B47" s="33" t="s">
        <v>70</v>
      </c>
      <c r="C47" s="34">
        <v>1.4999999999999999E-2</v>
      </c>
      <c r="D47" s="11">
        <f t="shared" si="4"/>
        <v>19.32</v>
      </c>
    </row>
    <row r="48" spans="1:5" x14ac:dyDescent="0.2">
      <c r="A48" s="10" t="s">
        <v>49</v>
      </c>
      <c r="B48" s="33" t="s">
        <v>71</v>
      </c>
      <c r="C48" s="34">
        <v>0.01</v>
      </c>
      <c r="D48" s="11">
        <f t="shared" si="4"/>
        <v>12.88</v>
      </c>
    </row>
    <row r="49" spans="1:5" x14ac:dyDescent="0.2">
      <c r="A49" s="10" t="s">
        <v>72</v>
      </c>
      <c r="B49" s="33" t="s">
        <v>73</v>
      </c>
      <c r="C49" s="34">
        <v>6.0000000000000001E-3</v>
      </c>
      <c r="D49" s="11">
        <f t="shared" si="4"/>
        <v>7.73</v>
      </c>
    </row>
    <row r="50" spans="1:5" x14ac:dyDescent="0.2">
      <c r="A50" s="10" t="s">
        <v>51</v>
      </c>
      <c r="B50" s="33" t="s">
        <v>10</v>
      </c>
      <c r="C50" s="34">
        <v>2E-3</v>
      </c>
      <c r="D50" s="11">
        <f t="shared" si="4"/>
        <v>2.58</v>
      </c>
    </row>
    <row r="51" spans="1:5" x14ac:dyDescent="0.2">
      <c r="A51" s="1" t="s">
        <v>53</v>
      </c>
      <c r="B51" s="35" t="s">
        <v>11</v>
      </c>
      <c r="C51" s="34">
        <v>0.08</v>
      </c>
      <c r="D51" s="11">
        <f t="shared" si="4"/>
        <v>103.04</v>
      </c>
    </row>
    <row r="52" spans="1:5" ht="13.5" thickBot="1" x14ac:dyDescent="0.25">
      <c r="A52" s="352" t="s">
        <v>74</v>
      </c>
      <c r="B52" s="353"/>
      <c r="C52" s="36">
        <f t="shared" ref="C52:D52" si="5">SUM(C44:C51)</f>
        <v>0.36799999999999999</v>
      </c>
      <c r="D52" s="37">
        <f t="shared" si="5"/>
        <v>473.98</v>
      </c>
    </row>
    <row r="53" spans="1:5" x14ac:dyDescent="0.2">
      <c r="A53" s="79" t="s">
        <v>143</v>
      </c>
      <c r="B53" s="85"/>
      <c r="C53" s="86"/>
      <c r="D53" s="87"/>
      <c r="E53" s="88"/>
    </row>
    <row r="54" spans="1:5" x14ac:dyDescent="0.2">
      <c r="A54" s="79" t="s">
        <v>144</v>
      </c>
      <c r="B54" s="85"/>
      <c r="C54" s="86"/>
      <c r="D54" s="87"/>
      <c r="E54" s="88"/>
    </row>
    <row r="55" spans="1:5" ht="13.5" thickBot="1" x14ac:dyDescent="0.25">
      <c r="A55" s="289" t="s">
        <v>166</v>
      </c>
      <c r="B55" s="85"/>
      <c r="C55" s="86"/>
      <c r="D55" s="87"/>
      <c r="E55" s="88"/>
    </row>
    <row r="56" spans="1:5" ht="13.5" thickBot="1" x14ac:dyDescent="0.25">
      <c r="A56" s="344" t="s">
        <v>75</v>
      </c>
      <c r="B56" s="345"/>
      <c r="C56" s="345"/>
      <c r="D56" s="346"/>
    </row>
    <row r="57" spans="1:5" ht="13.5" thickBot="1" x14ac:dyDescent="0.25">
      <c r="A57" s="27" t="s">
        <v>76</v>
      </c>
      <c r="B57" s="354" t="s">
        <v>17</v>
      </c>
      <c r="C57" s="343"/>
      <c r="D57" s="38" t="s">
        <v>44</v>
      </c>
    </row>
    <row r="58" spans="1:5" x14ac:dyDescent="0.2">
      <c r="A58" s="3" t="s">
        <v>31</v>
      </c>
      <c r="B58" s="355" t="s">
        <v>77</v>
      </c>
      <c r="C58" s="356"/>
      <c r="D58" s="11">
        <f>5.5*2*22-6%*D22</f>
        <v>164.72</v>
      </c>
    </row>
    <row r="59" spans="1:5" x14ac:dyDescent="0.2">
      <c r="A59" s="5" t="s">
        <v>33</v>
      </c>
      <c r="B59" s="362" t="s">
        <v>78</v>
      </c>
      <c r="C59" s="358"/>
      <c r="D59" s="39">
        <f>35*22</f>
        <v>770</v>
      </c>
    </row>
    <row r="60" spans="1:5" x14ac:dyDescent="0.2">
      <c r="A60" s="5" t="s">
        <v>3</v>
      </c>
      <c r="B60" s="40" t="s">
        <v>79</v>
      </c>
      <c r="C60" s="41"/>
      <c r="D60" s="39">
        <v>0</v>
      </c>
    </row>
    <row r="61" spans="1:5" x14ac:dyDescent="0.2">
      <c r="A61" s="5" t="s">
        <v>47</v>
      </c>
      <c r="B61" s="42" t="s">
        <v>80</v>
      </c>
      <c r="C61" s="41"/>
      <c r="D61" s="39">
        <v>0</v>
      </c>
    </row>
    <row r="62" spans="1:5" x14ac:dyDescent="0.2">
      <c r="A62" s="3" t="s">
        <v>5</v>
      </c>
      <c r="B62" s="355" t="s">
        <v>81</v>
      </c>
      <c r="C62" s="356"/>
      <c r="D62" s="11">
        <v>2.2999999999999998</v>
      </c>
    </row>
    <row r="63" spans="1:5" x14ac:dyDescent="0.2">
      <c r="A63" s="5" t="s">
        <v>72</v>
      </c>
      <c r="B63" s="362" t="s">
        <v>82</v>
      </c>
      <c r="C63" s="358"/>
      <c r="D63" s="39">
        <v>0</v>
      </c>
    </row>
    <row r="64" spans="1:5" x14ac:dyDescent="0.2">
      <c r="A64" s="5" t="s">
        <v>7</v>
      </c>
      <c r="B64" s="40" t="s">
        <v>83</v>
      </c>
      <c r="C64" s="41"/>
      <c r="D64" s="39">
        <v>0</v>
      </c>
    </row>
    <row r="65" spans="1:4" ht="13.5" thickBot="1" x14ac:dyDescent="0.25">
      <c r="A65" s="43" t="s">
        <v>72</v>
      </c>
      <c r="B65" s="44" t="s">
        <v>84</v>
      </c>
      <c r="C65" s="45"/>
      <c r="D65" s="46">
        <v>0</v>
      </c>
    </row>
    <row r="66" spans="1:4" ht="13.5" thickBot="1" x14ac:dyDescent="0.25">
      <c r="A66" s="392" t="s">
        <v>85</v>
      </c>
      <c r="B66" s="393" t="s">
        <v>85</v>
      </c>
      <c r="C66" s="393"/>
      <c r="D66" s="47">
        <f>SUM(D58:D64)</f>
        <v>937.02</v>
      </c>
    </row>
    <row r="67" spans="1:4" x14ac:dyDescent="0.2">
      <c r="A67" s="79" t="s">
        <v>145</v>
      </c>
      <c r="B67" s="26"/>
      <c r="C67" s="26"/>
      <c r="D67" s="78"/>
    </row>
    <row r="68" spans="1:4" ht="23.25" customHeight="1" thickBot="1" x14ac:dyDescent="0.25">
      <c r="A68" s="351" t="s">
        <v>146</v>
      </c>
      <c r="B68" s="351"/>
      <c r="C68" s="351"/>
      <c r="D68" s="351"/>
    </row>
    <row r="69" spans="1:4" ht="13.5" thickBot="1" x14ac:dyDescent="0.25">
      <c r="A69" s="344" t="s">
        <v>86</v>
      </c>
      <c r="B69" s="345"/>
      <c r="C69" s="345"/>
      <c r="D69" s="346"/>
    </row>
    <row r="70" spans="1:4" ht="36.75" customHeight="1" thickBot="1" x14ac:dyDescent="0.25">
      <c r="A70" s="52">
        <v>2</v>
      </c>
      <c r="B70" s="341" t="s">
        <v>87</v>
      </c>
      <c r="C70" s="343"/>
      <c r="D70" s="53" t="s">
        <v>88</v>
      </c>
    </row>
    <row r="71" spans="1:4" ht="13.5" thickBot="1" x14ac:dyDescent="0.25">
      <c r="A71" s="54" t="s">
        <v>58</v>
      </c>
      <c r="B71" s="347" t="s">
        <v>59</v>
      </c>
      <c r="C71" s="348"/>
      <c r="D71" s="55">
        <f>D38</f>
        <v>359.98</v>
      </c>
    </row>
    <row r="72" spans="1:4" ht="13.5" thickBot="1" x14ac:dyDescent="0.25">
      <c r="A72" s="54" t="s">
        <v>65</v>
      </c>
      <c r="B72" s="347" t="s">
        <v>66</v>
      </c>
      <c r="C72" s="348"/>
      <c r="D72" s="55">
        <f>D52</f>
        <v>473.98</v>
      </c>
    </row>
    <row r="73" spans="1:4" ht="13.5" thickBot="1" x14ac:dyDescent="0.25">
      <c r="A73" s="54" t="s">
        <v>76</v>
      </c>
      <c r="B73" s="339" t="s">
        <v>17</v>
      </c>
      <c r="C73" s="340"/>
      <c r="D73" s="55">
        <f>D66</f>
        <v>937.02</v>
      </c>
    </row>
    <row r="74" spans="1:4" ht="13.5" thickBot="1" x14ac:dyDescent="0.25">
      <c r="A74" s="341" t="s">
        <v>89</v>
      </c>
      <c r="B74" s="342"/>
      <c r="C74" s="343"/>
      <c r="D74" s="56">
        <f>SUM(D71:D73)</f>
        <v>1770.98</v>
      </c>
    </row>
    <row r="75" spans="1:4" ht="13.5" thickBot="1" x14ac:dyDescent="0.25">
      <c r="A75" s="344" t="s">
        <v>90</v>
      </c>
      <c r="B75" s="345"/>
      <c r="C75" s="345"/>
      <c r="D75" s="346"/>
    </row>
    <row r="76" spans="1:4" ht="13.5" thickBot="1" x14ac:dyDescent="0.25">
      <c r="A76" s="52">
        <v>3</v>
      </c>
      <c r="B76" s="285" t="s">
        <v>22</v>
      </c>
      <c r="C76" s="57" t="s">
        <v>0</v>
      </c>
      <c r="D76" s="53" t="s">
        <v>88</v>
      </c>
    </row>
    <row r="77" spans="1:4" ht="13.5" thickBot="1" x14ac:dyDescent="0.25">
      <c r="A77" s="54" t="s">
        <v>1</v>
      </c>
      <c r="B77" s="58" t="s">
        <v>13</v>
      </c>
      <c r="C77" s="59">
        <v>4.5999999999999999E-3</v>
      </c>
      <c r="D77" s="55">
        <f t="shared" ref="D77:D82" si="6">C77*$D$29</f>
        <v>5.92</v>
      </c>
    </row>
    <row r="78" spans="1:4" ht="13.5" thickBot="1" x14ac:dyDescent="0.25">
      <c r="A78" s="54" t="s">
        <v>2</v>
      </c>
      <c r="B78" s="58" t="s">
        <v>91</v>
      </c>
      <c r="C78" s="59">
        <f>8%*C77</f>
        <v>4.0000000000000002E-4</v>
      </c>
      <c r="D78" s="55">
        <f t="shared" si="6"/>
        <v>0.52</v>
      </c>
    </row>
    <row r="79" spans="1:4" ht="26.25" customHeight="1" thickBot="1" x14ac:dyDescent="0.25">
      <c r="A79" s="54" t="s">
        <v>3</v>
      </c>
      <c r="B79" s="58" t="s">
        <v>92</v>
      </c>
      <c r="C79" s="290">
        <v>3.4700000000000002E-2</v>
      </c>
      <c r="D79" s="55">
        <f t="shared" si="6"/>
        <v>44.69</v>
      </c>
    </row>
    <row r="80" spans="1:4" ht="15.75" customHeight="1" thickBot="1" x14ac:dyDescent="0.25">
      <c r="A80" s="54" t="s">
        <v>4</v>
      </c>
      <c r="B80" s="58" t="s">
        <v>23</v>
      </c>
      <c r="C80" s="59">
        <v>1.9400000000000001E-2</v>
      </c>
      <c r="D80" s="55">
        <f t="shared" si="6"/>
        <v>24.99</v>
      </c>
    </row>
    <row r="81" spans="1:5" ht="27" customHeight="1" thickBot="1" x14ac:dyDescent="0.25">
      <c r="A81" s="54" t="s">
        <v>5</v>
      </c>
      <c r="B81" s="58" t="s">
        <v>154</v>
      </c>
      <c r="C81" s="59">
        <f>1*36.8%*C80</f>
        <v>7.1000000000000004E-3</v>
      </c>
      <c r="D81" s="55">
        <f t="shared" si="6"/>
        <v>9.14</v>
      </c>
    </row>
    <row r="82" spans="1:5" ht="26.25" customHeight="1" thickBot="1" x14ac:dyDescent="0.25">
      <c r="A82" s="54" t="s">
        <v>6</v>
      </c>
      <c r="B82" s="58" t="s">
        <v>93</v>
      </c>
      <c r="C82" s="290">
        <v>2.0000000000000001E-4</v>
      </c>
      <c r="D82" s="55">
        <f t="shared" si="6"/>
        <v>0.26</v>
      </c>
    </row>
    <row r="83" spans="1:5" ht="13.5" thickBot="1" x14ac:dyDescent="0.25">
      <c r="A83" s="341" t="s">
        <v>89</v>
      </c>
      <c r="B83" s="343"/>
      <c r="C83" s="60">
        <f t="shared" ref="C83:D83" si="7">SUM(C77:C82)</f>
        <v>6.6400000000000001E-2</v>
      </c>
      <c r="D83" s="61">
        <f t="shared" si="7"/>
        <v>85.52</v>
      </c>
    </row>
    <row r="84" spans="1:5" ht="33.75" customHeight="1" thickBot="1" x14ac:dyDescent="0.25">
      <c r="A84" s="391" t="s">
        <v>147</v>
      </c>
      <c r="B84" s="391"/>
      <c r="C84" s="391"/>
      <c r="D84" s="391"/>
    </row>
    <row r="85" spans="1:5" ht="13.5" thickBot="1" x14ac:dyDescent="0.25">
      <c r="A85" s="344" t="s">
        <v>94</v>
      </c>
      <c r="B85" s="345"/>
      <c r="C85" s="345"/>
      <c r="D85" s="346"/>
    </row>
    <row r="86" spans="1:5" ht="15.75" customHeight="1" thickBot="1" x14ac:dyDescent="0.25">
      <c r="A86" s="341" t="s">
        <v>95</v>
      </c>
      <c r="B86" s="342"/>
      <c r="C86" s="342"/>
      <c r="D86" s="343"/>
    </row>
    <row r="87" spans="1:5" ht="15" customHeight="1" thickBot="1" x14ac:dyDescent="0.25">
      <c r="A87" s="52" t="s">
        <v>20</v>
      </c>
      <c r="B87" s="284" t="s">
        <v>96</v>
      </c>
      <c r="C87" s="52" t="s">
        <v>0</v>
      </c>
      <c r="D87" s="53" t="s">
        <v>88</v>
      </c>
    </row>
    <row r="88" spans="1:5" ht="13.5" thickBot="1" x14ac:dyDescent="0.25">
      <c r="A88" s="54" t="s">
        <v>1</v>
      </c>
      <c r="B88" s="58" t="s">
        <v>155</v>
      </c>
      <c r="C88" s="291">
        <v>9.0749999999999997E-2</v>
      </c>
      <c r="D88" s="63">
        <f>C88*$D$29</f>
        <v>116.88</v>
      </c>
    </row>
    <row r="89" spans="1:5" ht="13.5" thickBot="1" x14ac:dyDescent="0.25">
      <c r="A89" s="54" t="s">
        <v>2</v>
      </c>
      <c r="B89" s="58" t="s">
        <v>383</v>
      </c>
      <c r="C89" s="62">
        <v>4.1999999999999997E-3</v>
      </c>
      <c r="D89" s="63">
        <f>C89*$D$29</f>
        <v>5.41</v>
      </c>
    </row>
    <row r="90" spans="1:5" ht="15" customHeight="1" thickBot="1" x14ac:dyDescent="0.25">
      <c r="A90" s="54" t="s">
        <v>3</v>
      </c>
      <c r="B90" s="58" t="s">
        <v>98</v>
      </c>
      <c r="C90" s="62">
        <v>2.0000000000000001E-4</v>
      </c>
      <c r="D90" s="63">
        <f>C90*$D$29</f>
        <v>0.26</v>
      </c>
    </row>
    <row r="91" spans="1:5" ht="22.5" customHeight="1" thickBot="1" x14ac:dyDescent="0.25">
      <c r="A91" s="54" t="s">
        <v>4</v>
      </c>
      <c r="B91" s="58" t="s">
        <v>99</v>
      </c>
      <c r="C91" s="62">
        <v>4.1999999999999997E-3</v>
      </c>
      <c r="D91" s="63">
        <f>C91*$D$29</f>
        <v>5.41</v>
      </c>
    </row>
    <row r="92" spans="1:5" ht="13.5" thickBot="1" x14ac:dyDescent="0.25">
      <c r="A92" s="54" t="s">
        <v>5</v>
      </c>
      <c r="B92" s="58" t="s">
        <v>156</v>
      </c>
      <c r="C92" s="62">
        <v>2.0000000000000001E-4</v>
      </c>
      <c r="D92" s="63">
        <f>C92*$D$29</f>
        <v>0.26</v>
      </c>
    </row>
    <row r="93" spans="1:5" ht="39" thickBot="1" x14ac:dyDescent="0.25">
      <c r="A93" s="54" t="s">
        <v>6</v>
      </c>
      <c r="B93" s="58" t="s">
        <v>384</v>
      </c>
      <c r="C93" s="273">
        <f>SUM(C88:C92)*C52</f>
        <v>3.6600000000000001E-2</v>
      </c>
      <c r="D93" s="63">
        <f t="shared" ref="D93" si="8">C93*$D$29</f>
        <v>47.14</v>
      </c>
      <c r="E93" s="295"/>
    </row>
    <row r="94" spans="1:5" ht="13.5" thickBot="1" x14ac:dyDescent="0.25">
      <c r="A94" s="341" t="s">
        <v>63</v>
      </c>
      <c r="B94" s="342"/>
      <c r="C94" s="64">
        <f t="shared" ref="C94:D94" si="9">SUM(C88:C93)</f>
        <v>0.13619999999999999</v>
      </c>
      <c r="D94" s="61">
        <f t="shared" si="9"/>
        <v>175.36</v>
      </c>
    </row>
    <row r="95" spans="1:5" ht="36.75" customHeight="1" thickBot="1" x14ac:dyDescent="0.25">
      <c r="A95" s="357" t="s">
        <v>153</v>
      </c>
      <c r="B95" s="357"/>
      <c r="C95" s="357"/>
      <c r="D95" s="357"/>
    </row>
    <row r="96" spans="1:5" ht="15.75" customHeight="1" thickBot="1" x14ac:dyDescent="0.25">
      <c r="A96" s="344" t="s">
        <v>101</v>
      </c>
      <c r="B96" s="345"/>
      <c r="C96" s="345"/>
      <c r="D96" s="346"/>
    </row>
    <row r="97" spans="1:4" ht="15.75" customHeight="1" thickBot="1" x14ac:dyDescent="0.25">
      <c r="A97" s="52" t="s">
        <v>21</v>
      </c>
      <c r="B97" s="341" t="s">
        <v>102</v>
      </c>
      <c r="C97" s="343"/>
      <c r="D97" s="53" t="s">
        <v>88</v>
      </c>
    </row>
    <row r="98" spans="1:4" ht="15" customHeight="1" thickBot="1" x14ac:dyDescent="0.25">
      <c r="A98" s="54" t="s">
        <v>1</v>
      </c>
      <c r="B98" s="339" t="s">
        <v>157</v>
      </c>
      <c r="C98" s="340"/>
      <c r="D98" s="55">
        <v>0</v>
      </c>
    </row>
    <row r="99" spans="1:4" ht="15.75" customHeight="1" thickBot="1" x14ac:dyDescent="0.25">
      <c r="A99" s="341" t="s">
        <v>89</v>
      </c>
      <c r="B99" s="342"/>
      <c r="C99" s="343"/>
      <c r="D99" s="55">
        <f>SUM(D98)</f>
        <v>0</v>
      </c>
    </row>
    <row r="100" spans="1:4" ht="13.5" thickBot="1" x14ac:dyDescent="0.25">
      <c r="A100" s="48"/>
      <c r="B100" s="49"/>
      <c r="C100" s="50"/>
      <c r="D100" s="51"/>
    </row>
    <row r="101" spans="1:4" ht="13.5" thickBot="1" x14ac:dyDescent="0.25">
      <c r="A101" s="344" t="s">
        <v>103</v>
      </c>
      <c r="B101" s="345"/>
      <c r="C101" s="345"/>
      <c r="D101" s="346"/>
    </row>
    <row r="102" spans="1:4" ht="13.5" thickBot="1" x14ac:dyDescent="0.25">
      <c r="A102" s="52">
        <v>4</v>
      </c>
      <c r="B102" s="341" t="s">
        <v>104</v>
      </c>
      <c r="C102" s="343"/>
      <c r="D102" s="53" t="s">
        <v>88</v>
      </c>
    </row>
    <row r="103" spans="1:4" ht="15" customHeight="1" thickBot="1" x14ac:dyDescent="0.25">
      <c r="A103" s="54" t="s">
        <v>20</v>
      </c>
      <c r="B103" s="339" t="s">
        <v>96</v>
      </c>
      <c r="C103" s="340"/>
      <c r="D103" s="55">
        <f>D94</f>
        <v>175.36</v>
      </c>
    </row>
    <row r="104" spans="1:4" ht="15.75" customHeight="1" thickBot="1" x14ac:dyDescent="0.25">
      <c r="A104" s="54" t="s">
        <v>21</v>
      </c>
      <c r="B104" s="339" t="s">
        <v>102</v>
      </c>
      <c r="C104" s="340"/>
      <c r="D104" s="55">
        <f>D99</f>
        <v>0</v>
      </c>
    </row>
    <row r="105" spans="1:4" ht="15.75" customHeight="1" thickBot="1" x14ac:dyDescent="0.25">
      <c r="A105" s="341" t="s">
        <v>89</v>
      </c>
      <c r="B105" s="342"/>
      <c r="C105" s="343"/>
      <c r="D105" s="61">
        <f>SUM(D103:D104)</f>
        <v>175.36</v>
      </c>
    </row>
    <row r="106" spans="1:4" ht="15.75" customHeight="1" thickBot="1" x14ac:dyDescent="0.25">
      <c r="A106" s="48"/>
      <c r="B106" s="49"/>
      <c r="C106" s="50"/>
      <c r="D106" s="51"/>
    </row>
    <row r="107" spans="1:4" ht="15.75" customHeight="1" thickBot="1" x14ac:dyDescent="0.25">
      <c r="A107" s="344" t="s">
        <v>105</v>
      </c>
      <c r="B107" s="345"/>
      <c r="C107" s="345"/>
      <c r="D107" s="346"/>
    </row>
    <row r="108" spans="1:4" ht="15.75" customHeight="1" thickBot="1" x14ac:dyDescent="0.25">
      <c r="A108" s="52">
        <v>5</v>
      </c>
      <c r="B108" s="341" t="s">
        <v>18</v>
      </c>
      <c r="C108" s="343"/>
      <c r="D108" s="53" t="s">
        <v>88</v>
      </c>
    </row>
    <row r="109" spans="1:4" ht="13.5" thickBot="1" x14ac:dyDescent="0.25">
      <c r="A109" s="54" t="s">
        <v>1</v>
      </c>
      <c r="B109" s="339" t="s">
        <v>19</v>
      </c>
      <c r="C109" s="340"/>
      <c r="D109" s="55">
        <f>Uniformes!G16</f>
        <v>98.46</v>
      </c>
    </row>
    <row r="110" spans="1:4" ht="13.5" thickBot="1" x14ac:dyDescent="0.25">
      <c r="A110" s="54" t="s">
        <v>2</v>
      </c>
      <c r="B110" s="339" t="s">
        <v>27</v>
      </c>
      <c r="C110" s="340"/>
      <c r="D110" s="55">
        <f>Materiais!H92</f>
        <v>430.61</v>
      </c>
    </row>
    <row r="111" spans="1:4" ht="13.5" thickBot="1" x14ac:dyDescent="0.25">
      <c r="A111" s="54" t="s">
        <v>3</v>
      </c>
      <c r="B111" s="339" t="s">
        <v>345</v>
      </c>
      <c r="C111" s="340"/>
      <c r="D111" s="55">
        <f>Equipamento!G16</f>
        <v>5.6</v>
      </c>
    </row>
    <row r="112" spans="1:4" ht="15" customHeight="1" thickBot="1" x14ac:dyDescent="0.25">
      <c r="A112" s="54" t="s">
        <v>4</v>
      </c>
      <c r="B112" s="339" t="s">
        <v>346</v>
      </c>
      <c r="C112" s="340"/>
      <c r="D112" s="55">
        <f>Equipamento!G24</f>
        <v>4.46</v>
      </c>
    </row>
    <row r="113" spans="1:5" ht="15.75" customHeight="1" thickBot="1" x14ac:dyDescent="0.25">
      <c r="A113" s="341" t="s">
        <v>63</v>
      </c>
      <c r="B113" s="342"/>
      <c r="C113" s="343"/>
      <c r="D113" s="56">
        <f>SUM(D109:D112)</f>
        <v>539.13</v>
      </c>
    </row>
    <row r="114" spans="1:5" ht="13.5" thickBot="1" x14ac:dyDescent="0.25">
      <c r="A114" s="48"/>
      <c r="B114" s="49"/>
      <c r="C114" s="50"/>
      <c r="D114" s="51"/>
    </row>
    <row r="115" spans="1:5" ht="15.75" customHeight="1" thickBot="1" x14ac:dyDescent="0.25">
      <c r="A115" s="344" t="s">
        <v>106</v>
      </c>
      <c r="B115" s="345"/>
      <c r="C115" s="345"/>
      <c r="D115" s="346"/>
    </row>
    <row r="116" spans="1:5" ht="18" customHeight="1" thickBot="1" x14ac:dyDescent="0.25">
      <c r="A116" s="52">
        <v>6</v>
      </c>
      <c r="B116" s="65" t="s">
        <v>24</v>
      </c>
      <c r="C116" s="285" t="s">
        <v>0</v>
      </c>
      <c r="D116" s="53" t="s">
        <v>88</v>
      </c>
    </row>
    <row r="117" spans="1:5" ht="15.75" customHeight="1" thickBot="1" x14ac:dyDescent="0.25">
      <c r="A117" s="54" t="s">
        <v>1</v>
      </c>
      <c r="B117" s="66" t="s">
        <v>25</v>
      </c>
      <c r="C117" s="62">
        <v>0.05</v>
      </c>
      <c r="D117" s="55">
        <f>C117*D135</f>
        <v>192.95</v>
      </c>
    </row>
    <row r="118" spans="1:5" ht="13.5" thickBot="1" x14ac:dyDescent="0.25">
      <c r="A118" s="54" t="s">
        <v>2</v>
      </c>
      <c r="B118" s="66" t="s">
        <v>108</v>
      </c>
      <c r="C118" s="62">
        <v>3.0499999999999999E-2</v>
      </c>
      <c r="D118" s="55">
        <f>(D117+D135)*C118</f>
        <v>123.58</v>
      </c>
    </row>
    <row r="119" spans="1:5" ht="13.5" thickBot="1" x14ac:dyDescent="0.25">
      <c r="A119" s="54" t="s">
        <v>3</v>
      </c>
      <c r="B119" s="66" t="s">
        <v>109</v>
      </c>
      <c r="C119" s="62">
        <f>C120+C121+C122</f>
        <v>0.14249999999999999</v>
      </c>
      <c r="D119" s="55">
        <f>((D117+D118+D135)/(1-C119))*C119</f>
        <v>693.88</v>
      </c>
      <c r="E119" s="97"/>
    </row>
    <row r="120" spans="1:5" ht="13.5" thickBot="1" x14ac:dyDescent="0.25">
      <c r="A120" s="54"/>
      <c r="B120" s="66" t="s">
        <v>110</v>
      </c>
      <c r="C120" s="62">
        <v>9.2499999999999999E-2</v>
      </c>
      <c r="D120" s="55">
        <f>D137*C120</f>
        <v>450.42</v>
      </c>
    </row>
    <row r="121" spans="1:5" ht="13.5" thickBot="1" x14ac:dyDescent="0.25">
      <c r="A121" s="54"/>
      <c r="B121" s="66" t="s">
        <v>111</v>
      </c>
      <c r="C121" s="67">
        <v>0.05</v>
      </c>
      <c r="D121" s="55">
        <f>C121*D137</f>
        <v>243.47</v>
      </c>
    </row>
    <row r="122" spans="1:5" ht="13.5" thickBot="1" x14ac:dyDescent="0.25">
      <c r="A122" s="54"/>
      <c r="B122" s="66" t="s">
        <v>112</v>
      </c>
      <c r="C122" s="67">
        <v>0</v>
      </c>
      <c r="D122" s="55">
        <f>C122*D137</f>
        <v>0</v>
      </c>
    </row>
    <row r="123" spans="1:5" ht="13.5" thickBot="1" x14ac:dyDescent="0.25">
      <c r="A123" s="341" t="s">
        <v>63</v>
      </c>
      <c r="B123" s="343"/>
      <c r="C123" s="64">
        <f>C119+C117+C118</f>
        <v>0.223</v>
      </c>
      <c r="D123" s="53">
        <f>SUM(D117,D118,D119)</f>
        <v>1010.41</v>
      </c>
    </row>
    <row r="124" spans="1:5" x14ac:dyDescent="0.2">
      <c r="A124" s="79" t="s">
        <v>148</v>
      </c>
      <c r="B124" s="49"/>
      <c r="C124" s="50"/>
      <c r="D124" s="51"/>
    </row>
    <row r="125" spans="1:5" ht="21.75" customHeight="1" x14ac:dyDescent="0.2">
      <c r="A125" s="351" t="s">
        <v>149</v>
      </c>
      <c r="B125" s="351"/>
      <c r="C125" s="351"/>
      <c r="D125" s="351"/>
    </row>
    <row r="126" spans="1:5" x14ac:dyDescent="0.2">
      <c r="A126" s="79" t="s">
        <v>150</v>
      </c>
      <c r="B126" s="49"/>
      <c r="C126" s="50"/>
      <c r="D126" s="51"/>
    </row>
    <row r="127" spans="1:5" ht="13.5" thickBot="1" x14ac:dyDescent="0.25">
      <c r="A127" s="48"/>
      <c r="B127" s="49"/>
      <c r="C127" s="50"/>
      <c r="D127" s="51"/>
    </row>
    <row r="128" spans="1:5" ht="15" customHeight="1" thickBot="1" x14ac:dyDescent="0.25">
      <c r="A128" s="344" t="s">
        <v>113</v>
      </c>
      <c r="B128" s="345"/>
      <c r="C128" s="345"/>
      <c r="D128" s="346"/>
    </row>
    <row r="129" spans="1:4" ht="21.75" customHeight="1" thickBot="1" x14ac:dyDescent="0.25">
      <c r="A129" s="52"/>
      <c r="B129" s="349" t="s">
        <v>114</v>
      </c>
      <c r="C129" s="350"/>
      <c r="D129" s="53" t="s">
        <v>88</v>
      </c>
    </row>
    <row r="130" spans="1:4" ht="15.75" customHeight="1" thickBot="1" x14ac:dyDescent="0.25">
      <c r="A130" s="68" t="s">
        <v>1</v>
      </c>
      <c r="B130" s="347" t="s">
        <v>26</v>
      </c>
      <c r="C130" s="348"/>
      <c r="D130" s="55">
        <f>D29</f>
        <v>1287.96</v>
      </c>
    </row>
    <row r="131" spans="1:4" ht="15.75" customHeight="1" thickBot="1" x14ac:dyDescent="0.25">
      <c r="A131" s="68" t="s">
        <v>2</v>
      </c>
      <c r="B131" s="339" t="s">
        <v>56</v>
      </c>
      <c r="C131" s="340"/>
      <c r="D131" s="55">
        <f>D74</f>
        <v>1770.98</v>
      </c>
    </row>
    <row r="132" spans="1:4" ht="13.5" thickBot="1" x14ac:dyDescent="0.25">
      <c r="A132" s="68" t="s">
        <v>3</v>
      </c>
      <c r="B132" s="339" t="s">
        <v>90</v>
      </c>
      <c r="C132" s="340"/>
      <c r="D132" s="55">
        <f>D83</f>
        <v>85.52</v>
      </c>
    </row>
    <row r="133" spans="1:4" ht="15.75" customHeight="1" thickBot="1" x14ac:dyDescent="0.25">
      <c r="A133" s="68" t="s">
        <v>4</v>
      </c>
      <c r="B133" s="339" t="s">
        <v>94</v>
      </c>
      <c r="C133" s="340"/>
      <c r="D133" s="55">
        <f>D105</f>
        <v>175.36</v>
      </c>
    </row>
    <row r="134" spans="1:4" ht="15" customHeight="1" thickBot="1" x14ac:dyDescent="0.25">
      <c r="A134" s="68" t="s">
        <v>5</v>
      </c>
      <c r="B134" s="339" t="s">
        <v>105</v>
      </c>
      <c r="C134" s="340"/>
      <c r="D134" s="55">
        <f>D113</f>
        <v>539.13</v>
      </c>
    </row>
    <row r="135" spans="1:4" ht="13.5" thickBot="1" x14ac:dyDescent="0.25">
      <c r="A135" s="341" t="s">
        <v>115</v>
      </c>
      <c r="B135" s="342"/>
      <c r="C135" s="343"/>
      <c r="D135" s="55">
        <f>SUM(D130:D134)</f>
        <v>3858.95</v>
      </c>
    </row>
    <row r="136" spans="1:4" ht="14.25" customHeight="1" thickBot="1" x14ac:dyDescent="0.25">
      <c r="A136" s="68" t="s">
        <v>6</v>
      </c>
      <c r="B136" s="347" t="s">
        <v>116</v>
      </c>
      <c r="C136" s="348"/>
      <c r="D136" s="69">
        <f>D123</f>
        <v>1010.41</v>
      </c>
    </row>
    <row r="137" spans="1:4" ht="15" customHeight="1" thickBot="1" x14ac:dyDescent="0.25">
      <c r="A137" s="341" t="s">
        <v>117</v>
      </c>
      <c r="B137" s="342"/>
      <c r="C137" s="343"/>
      <c r="D137" s="70">
        <f>ROUND((D135+D136),2)</f>
        <v>4869.3599999999997</v>
      </c>
    </row>
    <row r="138" spans="1:4" ht="21" customHeight="1" x14ac:dyDescent="0.2">
      <c r="A138" s="369"/>
      <c r="B138" s="369"/>
      <c r="C138" s="369"/>
      <c r="D138" s="369"/>
    </row>
    <row r="139" spans="1:4" ht="15" customHeight="1" x14ac:dyDescent="0.2"/>
    <row r="140" spans="1:4" ht="15" customHeight="1" x14ac:dyDescent="0.2"/>
    <row r="142" spans="1:4" ht="15" customHeight="1" x14ac:dyDescent="0.2"/>
    <row r="143" spans="1:4" ht="14.25" customHeight="1" x14ac:dyDescent="0.2"/>
  </sheetData>
  <mergeCells count="87">
    <mergeCell ref="A6:D6"/>
    <mergeCell ref="A1:D1"/>
    <mergeCell ref="A2:D2"/>
    <mergeCell ref="A3:D3"/>
    <mergeCell ref="A4:D4"/>
    <mergeCell ref="A5:D5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B18:C18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86:D8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85:D85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B130:C130"/>
    <mergeCell ref="B108:C108"/>
    <mergeCell ref="B109:C109"/>
    <mergeCell ref="B110:C110"/>
    <mergeCell ref="B111:C111"/>
    <mergeCell ref="B112:C112"/>
    <mergeCell ref="A113:C113"/>
    <mergeCell ref="A115:D115"/>
    <mergeCell ref="A123:B123"/>
    <mergeCell ref="A125:D125"/>
    <mergeCell ref="A128:D128"/>
    <mergeCell ref="B129:C129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3"/>
  <sheetViews>
    <sheetView showGridLines="0" workbookViewId="0">
      <selection activeCell="H93" sqref="H93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16384" width="9.140625" style="13"/>
  </cols>
  <sheetData>
    <row r="1" spans="1:4" ht="12.75" customHeight="1" x14ac:dyDescent="0.2">
      <c r="A1" s="367" t="s">
        <v>28</v>
      </c>
      <c r="B1" s="368"/>
      <c r="C1" s="368"/>
      <c r="D1" s="368"/>
    </row>
    <row r="2" spans="1:4" ht="12.75" customHeight="1" x14ac:dyDescent="0.2">
      <c r="A2" s="367" t="s">
        <v>29</v>
      </c>
      <c r="B2" s="368"/>
      <c r="C2" s="368"/>
      <c r="D2" s="368"/>
    </row>
    <row r="3" spans="1:4" ht="12.75" customHeight="1" x14ac:dyDescent="0.2">
      <c r="A3" s="367" t="s">
        <v>171</v>
      </c>
      <c r="B3" s="368"/>
      <c r="C3" s="368"/>
      <c r="D3" s="368"/>
    </row>
    <row r="4" spans="1:4" ht="15" customHeight="1" x14ac:dyDescent="0.2">
      <c r="A4" s="367" t="s">
        <v>172</v>
      </c>
      <c r="B4" s="368"/>
      <c r="C4" s="368"/>
      <c r="D4" s="368"/>
    </row>
    <row r="5" spans="1:4" ht="3.75" customHeight="1" x14ac:dyDescent="0.2">
      <c r="A5" s="367"/>
      <c r="B5" s="368"/>
      <c r="C5" s="368"/>
      <c r="D5" s="368"/>
    </row>
    <row r="6" spans="1:4" ht="13.5" thickBot="1" x14ac:dyDescent="0.25">
      <c r="A6" s="370" t="s">
        <v>30</v>
      </c>
      <c r="B6" s="371"/>
      <c r="C6" s="371"/>
      <c r="D6" s="371"/>
    </row>
    <row r="7" spans="1:4" x14ac:dyDescent="0.2">
      <c r="A7" s="372" t="s">
        <v>130</v>
      </c>
      <c r="B7" s="373"/>
      <c r="C7" s="373"/>
      <c r="D7" s="374"/>
    </row>
    <row r="8" spans="1:4" ht="13.5" customHeight="1" thickBot="1" x14ac:dyDescent="0.25">
      <c r="A8" s="370" t="s">
        <v>131</v>
      </c>
      <c r="B8" s="371"/>
      <c r="C8" s="371"/>
      <c r="D8" s="382"/>
    </row>
    <row r="9" spans="1:4" ht="13.5" thickBot="1" x14ac:dyDescent="0.25">
      <c r="A9" s="383" t="s">
        <v>14</v>
      </c>
      <c r="B9" s="384"/>
      <c r="C9" s="384"/>
      <c r="D9" s="384"/>
    </row>
    <row r="10" spans="1:4" x14ac:dyDescent="0.2">
      <c r="A10" s="3" t="s">
        <v>31</v>
      </c>
      <c r="B10" s="385" t="s">
        <v>32</v>
      </c>
      <c r="C10" s="385"/>
      <c r="D10" s="4" t="s">
        <v>170</v>
      </c>
    </row>
    <row r="11" spans="1:4" x14ac:dyDescent="0.2">
      <c r="A11" s="5" t="s">
        <v>33</v>
      </c>
      <c r="B11" s="386" t="s">
        <v>34</v>
      </c>
      <c r="C11" s="386"/>
      <c r="D11" s="6" t="s">
        <v>35</v>
      </c>
    </row>
    <row r="12" spans="1:4" ht="25.5" x14ac:dyDescent="0.2">
      <c r="A12" s="5" t="s">
        <v>36</v>
      </c>
      <c r="B12" s="387" t="s">
        <v>37</v>
      </c>
      <c r="C12" s="388"/>
      <c r="D12" s="115" t="s">
        <v>399</v>
      </c>
    </row>
    <row r="13" spans="1:4" ht="13.5" thickBot="1" x14ac:dyDescent="0.25">
      <c r="A13" s="7" t="s">
        <v>4</v>
      </c>
      <c r="B13" s="375" t="s">
        <v>38</v>
      </c>
      <c r="C13" s="375"/>
      <c r="D13" s="8">
        <v>12</v>
      </c>
    </row>
    <row r="14" spans="1:4" ht="13.5" thickBot="1" x14ac:dyDescent="0.25">
      <c r="A14" s="378" t="s">
        <v>39</v>
      </c>
      <c r="B14" s="379"/>
      <c r="C14" s="379"/>
      <c r="D14" s="379"/>
    </row>
    <row r="15" spans="1:4" ht="25.5" x14ac:dyDescent="0.2">
      <c r="A15" s="80">
        <v>1</v>
      </c>
      <c r="B15" s="81" t="s">
        <v>40</v>
      </c>
      <c r="C15" s="380" t="s">
        <v>169</v>
      </c>
      <c r="D15" s="381"/>
    </row>
    <row r="16" spans="1:4" x14ac:dyDescent="0.2">
      <c r="A16" s="10">
        <v>2</v>
      </c>
      <c r="B16" s="361" t="s">
        <v>15</v>
      </c>
      <c r="C16" s="355"/>
      <c r="D16" s="11">
        <v>1287.96</v>
      </c>
    </row>
    <row r="17" spans="1:4" x14ac:dyDescent="0.2">
      <c r="A17" s="10">
        <v>3</v>
      </c>
      <c r="B17" s="361" t="s">
        <v>41</v>
      </c>
      <c r="C17" s="362"/>
      <c r="D17" s="12" t="s">
        <v>377</v>
      </c>
    </row>
    <row r="18" spans="1:4" x14ac:dyDescent="0.2">
      <c r="A18" s="1">
        <v>4</v>
      </c>
      <c r="B18" s="116" t="s">
        <v>132</v>
      </c>
      <c r="C18" s="288"/>
      <c r="D18" s="124" t="s">
        <v>386</v>
      </c>
    </row>
    <row r="19" spans="1:4" ht="13.5" thickBot="1" x14ac:dyDescent="0.25">
      <c r="A19" s="2">
        <v>5</v>
      </c>
      <c r="B19" s="363" t="s">
        <v>42</v>
      </c>
      <c r="C19" s="364"/>
      <c r="D19" s="120">
        <v>44197</v>
      </c>
    </row>
    <row r="20" spans="1:4" ht="13.5" thickBot="1" x14ac:dyDescent="0.25">
      <c r="A20" s="365" t="s">
        <v>26</v>
      </c>
      <c r="B20" s="366"/>
      <c r="C20" s="366"/>
      <c r="D20" s="366"/>
    </row>
    <row r="21" spans="1:4" ht="13.5" thickBot="1" x14ac:dyDescent="0.25">
      <c r="A21" s="287">
        <v>1</v>
      </c>
      <c r="B21" s="376" t="s">
        <v>43</v>
      </c>
      <c r="C21" s="377"/>
      <c r="D21" s="14" t="s">
        <v>44</v>
      </c>
    </row>
    <row r="22" spans="1:4" x14ac:dyDescent="0.2">
      <c r="A22" s="15" t="s">
        <v>31</v>
      </c>
      <c r="B22" s="356" t="s">
        <v>45</v>
      </c>
      <c r="C22" s="356"/>
      <c r="D22" s="16">
        <f>D16</f>
        <v>1287.96</v>
      </c>
    </row>
    <row r="23" spans="1:4" x14ac:dyDescent="0.2">
      <c r="A23" s="17" t="s">
        <v>33</v>
      </c>
      <c r="B23" s="286" t="s">
        <v>16</v>
      </c>
      <c r="C23" s="18">
        <v>0</v>
      </c>
      <c r="D23" s="19">
        <f t="shared" ref="D23" si="0">C23*D22</f>
        <v>0</v>
      </c>
    </row>
    <row r="24" spans="1:4" x14ac:dyDescent="0.2">
      <c r="A24" s="17" t="s">
        <v>36</v>
      </c>
      <c r="B24" s="358" t="s">
        <v>46</v>
      </c>
      <c r="C24" s="358"/>
      <c r="D24" s="19">
        <v>0</v>
      </c>
    </row>
    <row r="25" spans="1:4" x14ac:dyDescent="0.2">
      <c r="A25" s="17" t="s">
        <v>47</v>
      </c>
      <c r="B25" s="286" t="s">
        <v>48</v>
      </c>
      <c r="C25" s="20">
        <v>0</v>
      </c>
      <c r="D25" s="19">
        <v>0</v>
      </c>
    </row>
    <row r="26" spans="1:4" x14ac:dyDescent="0.2">
      <c r="A26" s="17" t="s">
        <v>49</v>
      </c>
      <c r="B26" s="358" t="s">
        <v>50</v>
      </c>
      <c r="C26" s="358"/>
      <c r="D26" s="19">
        <f t="shared" ref="D26" si="1">D22/220*0.2*0*15</f>
        <v>0</v>
      </c>
    </row>
    <row r="27" spans="1:4" x14ac:dyDescent="0.2">
      <c r="A27" s="17" t="s">
        <v>51</v>
      </c>
      <c r="B27" s="358" t="s">
        <v>52</v>
      </c>
      <c r="C27" s="358"/>
      <c r="D27" s="19">
        <v>0</v>
      </c>
    </row>
    <row r="28" spans="1:4" x14ac:dyDescent="0.2">
      <c r="A28" s="21" t="s">
        <v>53</v>
      </c>
      <c r="B28" s="359" t="s">
        <v>54</v>
      </c>
      <c r="C28" s="359"/>
      <c r="D28" s="22">
        <v>0</v>
      </c>
    </row>
    <row r="29" spans="1:4" ht="13.5" thickBot="1" x14ac:dyDescent="0.25">
      <c r="A29" s="352" t="s">
        <v>55</v>
      </c>
      <c r="B29" s="360"/>
      <c r="C29" s="353"/>
      <c r="D29" s="23">
        <f t="shared" ref="D29" si="2">ROUND(SUM(D22:D28),2)</f>
        <v>1287.96</v>
      </c>
    </row>
    <row r="30" spans="1:4" ht="13.5" thickBot="1" x14ac:dyDescent="0.25">
      <c r="A30" s="289" t="s">
        <v>141</v>
      </c>
      <c r="B30" s="77"/>
      <c r="C30" s="24"/>
      <c r="D30" s="25"/>
    </row>
    <row r="31" spans="1:4" ht="13.5" thickBot="1" x14ac:dyDescent="0.25">
      <c r="A31" s="344" t="s">
        <v>56</v>
      </c>
      <c r="B31" s="345"/>
      <c r="C31" s="345"/>
      <c r="D31" s="346"/>
    </row>
    <row r="32" spans="1:4" ht="13.5" thickBot="1" x14ac:dyDescent="0.25">
      <c r="A32" s="344" t="s">
        <v>57</v>
      </c>
      <c r="B32" s="345"/>
      <c r="C32" s="345"/>
      <c r="D32" s="346"/>
    </row>
    <row r="33" spans="1:5" ht="13.5" thickBot="1" x14ac:dyDescent="0.25">
      <c r="A33" s="27" t="s">
        <v>58</v>
      </c>
      <c r="B33" s="28" t="s">
        <v>59</v>
      </c>
      <c r="C33" s="29" t="s">
        <v>60</v>
      </c>
      <c r="D33" s="30" t="s">
        <v>44</v>
      </c>
    </row>
    <row r="34" spans="1:5" x14ac:dyDescent="0.2">
      <c r="A34" s="9" t="s">
        <v>31</v>
      </c>
      <c r="B34" s="31" t="s">
        <v>61</v>
      </c>
      <c r="C34" s="32">
        <v>8.3299999999999999E-2</v>
      </c>
      <c r="D34" s="11">
        <f>ROUND(D$29*C34,2)</f>
        <v>107.29</v>
      </c>
    </row>
    <row r="35" spans="1:5" x14ac:dyDescent="0.2">
      <c r="A35" s="10" t="s">
        <v>33</v>
      </c>
      <c r="B35" s="33" t="s">
        <v>62</v>
      </c>
      <c r="C35" s="34">
        <v>0.121</v>
      </c>
      <c r="D35" s="11">
        <f t="shared" ref="D35" si="3">ROUND(D$29*C35,2)</f>
        <v>155.84</v>
      </c>
    </row>
    <row r="36" spans="1:5" ht="13.5" thickBot="1" x14ac:dyDescent="0.25">
      <c r="A36" s="335" t="s">
        <v>164</v>
      </c>
      <c r="B36" s="336"/>
      <c r="C36" s="82">
        <f>SUM(A34:C35)</f>
        <v>0.20430000000000001</v>
      </c>
      <c r="D36" s="11">
        <f>SUM(D34:D35)</f>
        <v>263.13</v>
      </c>
    </row>
    <row r="37" spans="1:5" ht="25.5" x14ac:dyDescent="0.2">
      <c r="A37" s="1" t="s">
        <v>3</v>
      </c>
      <c r="B37" s="83" t="s">
        <v>165</v>
      </c>
      <c r="C37" s="84">
        <f>C36*C52</f>
        <v>7.5200000000000003E-2</v>
      </c>
      <c r="D37" s="11">
        <f>ROUND(D$29*C37,2)</f>
        <v>96.85</v>
      </c>
      <c r="E37" s="96"/>
    </row>
    <row r="38" spans="1:5" x14ac:dyDescent="0.2">
      <c r="A38" s="337" t="s">
        <v>63</v>
      </c>
      <c r="B38" s="338"/>
      <c r="C38" s="338"/>
      <c r="D38" s="11">
        <f>SUM(D36:D37)</f>
        <v>359.98</v>
      </c>
    </row>
    <row r="39" spans="1:5" ht="31.5" customHeight="1" x14ac:dyDescent="0.2">
      <c r="A39" s="389" t="s">
        <v>151</v>
      </c>
      <c r="B39" s="389"/>
      <c r="C39" s="389"/>
      <c r="D39" s="389"/>
    </row>
    <row r="40" spans="1:5" ht="22.5" customHeight="1" x14ac:dyDescent="0.2">
      <c r="A40" s="389" t="s">
        <v>142</v>
      </c>
      <c r="B40" s="389"/>
      <c r="C40" s="389"/>
      <c r="D40" s="389"/>
    </row>
    <row r="41" spans="1:5" ht="33" customHeight="1" thickBot="1" x14ac:dyDescent="0.25">
      <c r="A41" s="390" t="s">
        <v>152</v>
      </c>
      <c r="B41" s="390"/>
      <c r="C41" s="390"/>
      <c r="D41" s="390"/>
    </row>
    <row r="42" spans="1:5" ht="24.75" customHeight="1" thickBot="1" x14ac:dyDescent="0.25">
      <c r="A42" s="349" t="s">
        <v>64</v>
      </c>
      <c r="B42" s="394"/>
      <c r="C42" s="394"/>
      <c r="D42" s="350"/>
    </row>
    <row r="43" spans="1:5" ht="13.5" thickBot="1" x14ac:dyDescent="0.25">
      <c r="A43" s="27" t="s">
        <v>65</v>
      </c>
      <c r="B43" s="285" t="s">
        <v>66</v>
      </c>
      <c r="C43" s="29" t="s">
        <v>60</v>
      </c>
      <c r="D43" s="30" t="s">
        <v>44</v>
      </c>
    </row>
    <row r="44" spans="1:5" x14ac:dyDescent="0.2">
      <c r="A44" s="9" t="s">
        <v>31</v>
      </c>
      <c r="B44" s="31" t="s">
        <v>67</v>
      </c>
      <c r="C44" s="32">
        <v>0.2</v>
      </c>
      <c r="D44" s="11">
        <f>ROUND(D$29*C44,2)</f>
        <v>257.58999999999997</v>
      </c>
    </row>
    <row r="45" spans="1:5" x14ac:dyDescent="0.2">
      <c r="A45" s="10" t="s">
        <v>33</v>
      </c>
      <c r="B45" s="33" t="s">
        <v>68</v>
      </c>
      <c r="C45" s="34">
        <v>2.5000000000000001E-2</v>
      </c>
      <c r="D45" s="11">
        <f t="shared" ref="D45:D51" si="4">ROUND(D$29*C45,2)</f>
        <v>32.200000000000003</v>
      </c>
    </row>
    <row r="46" spans="1:5" x14ac:dyDescent="0.2">
      <c r="A46" s="10" t="s">
        <v>36</v>
      </c>
      <c r="B46" s="33" t="s">
        <v>69</v>
      </c>
      <c r="C46" s="98">
        <v>0.03</v>
      </c>
      <c r="D46" s="11">
        <f t="shared" si="4"/>
        <v>38.64</v>
      </c>
    </row>
    <row r="47" spans="1:5" x14ac:dyDescent="0.2">
      <c r="A47" s="10" t="s">
        <v>47</v>
      </c>
      <c r="B47" s="33" t="s">
        <v>70</v>
      </c>
      <c r="C47" s="34">
        <v>1.4999999999999999E-2</v>
      </c>
      <c r="D47" s="11">
        <f t="shared" si="4"/>
        <v>19.32</v>
      </c>
    </row>
    <row r="48" spans="1:5" x14ac:dyDescent="0.2">
      <c r="A48" s="10" t="s">
        <v>49</v>
      </c>
      <c r="B48" s="33" t="s">
        <v>71</v>
      </c>
      <c r="C48" s="34">
        <v>0.01</v>
      </c>
      <c r="D48" s="11">
        <f t="shared" si="4"/>
        <v>12.88</v>
      </c>
    </row>
    <row r="49" spans="1:5" x14ac:dyDescent="0.2">
      <c r="A49" s="10" t="s">
        <v>72</v>
      </c>
      <c r="B49" s="33" t="s">
        <v>73</v>
      </c>
      <c r="C49" s="34">
        <v>6.0000000000000001E-3</v>
      </c>
      <c r="D49" s="11">
        <f t="shared" si="4"/>
        <v>7.73</v>
      </c>
    </row>
    <row r="50" spans="1:5" x14ac:dyDescent="0.2">
      <c r="A50" s="10" t="s">
        <v>51</v>
      </c>
      <c r="B50" s="33" t="s">
        <v>10</v>
      </c>
      <c r="C50" s="34">
        <v>2E-3</v>
      </c>
      <c r="D50" s="11">
        <f t="shared" si="4"/>
        <v>2.58</v>
      </c>
    </row>
    <row r="51" spans="1:5" x14ac:dyDescent="0.2">
      <c r="A51" s="1" t="s">
        <v>53</v>
      </c>
      <c r="B51" s="35" t="s">
        <v>11</v>
      </c>
      <c r="C51" s="34">
        <v>0.08</v>
      </c>
      <c r="D51" s="11">
        <f t="shared" si="4"/>
        <v>103.04</v>
      </c>
    </row>
    <row r="52" spans="1:5" ht="13.5" thickBot="1" x14ac:dyDescent="0.25">
      <c r="A52" s="352" t="s">
        <v>74</v>
      </c>
      <c r="B52" s="353"/>
      <c r="C52" s="36">
        <f t="shared" ref="C52:D52" si="5">SUM(C44:C51)</f>
        <v>0.36799999999999999</v>
      </c>
      <c r="D52" s="37">
        <f t="shared" si="5"/>
        <v>473.98</v>
      </c>
    </row>
    <row r="53" spans="1:5" x14ac:dyDescent="0.2">
      <c r="A53" s="79" t="s">
        <v>143</v>
      </c>
      <c r="B53" s="85"/>
      <c r="C53" s="86"/>
      <c r="D53" s="87"/>
      <c r="E53" s="88"/>
    </row>
    <row r="54" spans="1:5" x14ac:dyDescent="0.2">
      <c r="A54" s="79" t="s">
        <v>144</v>
      </c>
      <c r="B54" s="85"/>
      <c r="C54" s="86"/>
      <c r="D54" s="87"/>
      <c r="E54" s="88"/>
    </row>
    <row r="55" spans="1:5" ht="13.5" thickBot="1" x14ac:dyDescent="0.25">
      <c r="A55" s="289" t="s">
        <v>166</v>
      </c>
      <c r="B55" s="85"/>
      <c r="C55" s="86"/>
      <c r="D55" s="87"/>
      <c r="E55" s="88"/>
    </row>
    <row r="56" spans="1:5" ht="13.5" thickBot="1" x14ac:dyDescent="0.25">
      <c r="A56" s="344" t="s">
        <v>75</v>
      </c>
      <c r="B56" s="345"/>
      <c r="C56" s="345"/>
      <c r="D56" s="346"/>
    </row>
    <row r="57" spans="1:5" ht="13.5" thickBot="1" x14ac:dyDescent="0.25">
      <c r="A57" s="27" t="s">
        <v>76</v>
      </c>
      <c r="B57" s="354" t="s">
        <v>17</v>
      </c>
      <c r="C57" s="343"/>
      <c r="D57" s="38" t="s">
        <v>44</v>
      </c>
    </row>
    <row r="58" spans="1:5" x14ac:dyDescent="0.2">
      <c r="A58" s="3" t="s">
        <v>31</v>
      </c>
      <c r="B58" s="355" t="s">
        <v>77</v>
      </c>
      <c r="C58" s="356"/>
      <c r="D58" s="11">
        <f>5.5*2*22-6%*D22</f>
        <v>164.72</v>
      </c>
    </row>
    <row r="59" spans="1:5" x14ac:dyDescent="0.2">
      <c r="A59" s="5" t="s">
        <v>33</v>
      </c>
      <c r="B59" s="362" t="s">
        <v>78</v>
      </c>
      <c r="C59" s="358"/>
      <c r="D59" s="39">
        <f>35*22</f>
        <v>770</v>
      </c>
    </row>
    <row r="60" spans="1:5" x14ac:dyDescent="0.2">
      <c r="A60" s="5" t="s">
        <v>3</v>
      </c>
      <c r="B60" s="40" t="s">
        <v>79</v>
      </c>
      <c r="C60" s="41"/>
      <c r="D60" s="39">
        <v>0</v>
      </c>
    </row>
    <row r="61" spans="1:5" x14ac:dyDescent="0.2">
      <c r="A61" s="5" t="s">
        <v>47</v>
      </c>
      <c r="B61" s="42" t="s">
        <v>80</v>
      </c>
      <c r="C61" s="41"/>
      <c r="D61" s="39">
        <v>0</v>
      </c>
    </row>
    <row r="62" spans="1:5" x14ac:dyDescent="0.2">
      <c r="A62" s="3" t="s">
        <v>5</v>
      </c>
      <c r="B62" s="355" t="s">
        <v>81</v>
      </c>
      <c r="C62" s="356"/>
      <c r="D62" s="11">
        <v>2.2999999999999998</v>
      </c>
    </row>
    <row r="63" spans="1:5" x14ac:dyDescent="0.2">
      <c r="A63" s="5" t="s">
        <v>72</v>
      </c>
      <c r="B63" s="362" t="s">
        <v>82</v>
      </c>
      <c r="C63" s="358"/>
      <c r="D63" s="39">
        <v>0</v>
      </c>
    </row>
    <row r="64" spans="1:5" x14ac:dyDescent="0.2">
      <c r="A64" s="5" t="s">
        <v>7</v>
      </c>
      <c r="B64" s="40" t="s">
        <v>83</v>
      </c>
      <c r="C64" s="41"/>
      <c r="D64" s="39">
        <v>0</v>
      </c>
    </row>
    <row r="65" spans="1:4" ht="13.5" thickBot="1" x14ac:dyDescent="0.25">
      <c r="A65" s="43" t="s">
        <v>72</v>
      </c>
      <c r="B65" s="44" t="s">
        <v>84</v>
      </c>
      <c r="C65" s="45"/>
      <c r="D65" s="46">
        <v>0</v>
      </c>
    </row>
    <row r="66" spans="1:4" ht="13.5" thickBot="1" x14ac:dyDescent="0.25">
      <c r="A66" s="392" t="s">
        <v>85</v>
      </c>
      <c r="B66" s="393" t="s">
        <v>85</v>
      </c>
      <c r="C66" s="393"/>
      <c r="D66" s="47">
        <f>SUM(D58:D64)</f>
        <v>937.02</v>
      </c>
    </row>
    <row r="67" spans="1:4" x14ac:dyDescent="0.2">
      <c r="A67" s="79" t="s">
        <v>145</v>
      </c>
      <c r="B67" s="26"/>
      <c r="C67" s="26"/>
      <c r="D67" s="78"/>
    </row>
    <row r="68" spans="1:4" ht="23.25" customHeight="1" thickBot="1" x14ac:dyDescent="0.25">
      <c r="A68" s="351" t="s">
        <v>146</v>
      </c>
      <c r="B68" s="351"/>
      <c r="C68" s="351"/>
      <c r="D68" s="351"/>
    </row>
    <row r="69" spans="1:4" ht="13.5" thickBot="1" x14ac:dyDescent="0.25">
      <c r="A69" s="344" t="s">
        <v>86</v>
      </c>
      <c r="B69" s="345"/>
      <c r="C69" s="345"/>
      <c r="D69" s="346"/>
    </row>
    <row r="70" spans="1:4" ht="36.75" customHeight="1" thickBot="1" x14ac:dyDescent="0.25">
      <c r="A70" s="52">
        <v>2</v>
      </c>
      <c r="B70" s="341" t="s">
        <v>87</v>
      </c>
      <c r="C70" s="343"/>
      <c r="D70" s="53" t="s">
        <v>88</v>
      </c>
    </row>
    <row r="71" spans="1:4" ht="13.5" thickBot="1" x14ac:dyDescent="0.25">
      <c r="A71" s="54" t="s">
        <v>58</v>
      </c>
      <c r="B71" s="347" t="s">
        <v>59</v>
      </c>
      <c r="C71" s="348"/>
      <c r="D71" s="55">
        <f>D38</f>
        <v>359.98</v>
      </c>
    </row>
    <row r="72" spans="1:4" ht="13.5" thickBot="1" x14ac:dyDescent="0.25">
      <c r="A72" s="54" t="s">
        <v>65</v>
      </c>
      <c r="B72" s="347" t="s">
        <v>66</v>
      </c>
      <c r="C72" s="348"/>
      <c r="D72" s="55">
        <f>D52</f>
        <v>473.98</v>
      </c>
    </row>
    <row r="73" spans="1:4" ht="13.5" thickBot="1" x14ac:dyDescent="0.25">
      <c r="A73" s="54" t="s">
        <v>76</v>
      </c>
      <c r="B73" s="339" t="s">
        <v>17</v>
      </c>
      <c r="C73" s="340"/>
      <c r="D73" s="55">
        <f>D66</f>
        <v>937.02</v>
      </c>
    </row>
    <row r="74" spans="1:4" ht="13.5" thickBot="1" x14ac:dyDescent="0.25">
      <c r="A74" s="341" t="s">
        <v>89</v>
      </c>
      <c r="B74" s="342"/>
      <c r="C74" s="343"/>
      <c r="D74" s="56">
        <f>SUM(D71:D73)</f>
        <v>1770.98</v>
      </c>
    </row>
    <row r="75" spans="1:4" ht="13.5" thickBot="1" x14ac:dyDescent="0.25">
      <c r="A75" s="344" t="s">
        <v>90</v>
      </c>
      <c r="B75" s="345"/>
      <c r="C75" s="345"/>
      <c r="D75" s="346"/>
    </row>
    <row r="76" spans="1:4" ht="13.5" thickBot="1" x14ac:dyDescent="0.25">
      <c r="A76" s="52">
        <v>3</v>
      </c>
      <c r="B76" s="285" t="s">
        <v>22</v>
      </c>
      <c r="C76" s="57" t="s">
        <v>0</v>
      </c>
      <c r="D76" s="53" t="s">
        <v>88</v>
      </c>
    </row>
    <row r="77" spans="1:4" ht="13.5" thickBot="1" x14ac:dyDescent="0.25">
      <c r="A77" s="54" t="s">
        <v>1</v>
      </c>
      <c r="B77" s="58" t="s">
        <v>13</v>
      </c>
      <c r="C77" s="59">
        <v>4.5999999999999999E-3</v>
      </c>
      <c r="D77" s="55">
        <f t="shared" ref="D77:D82" si="6">C77*$D$29</f>
        <v>5.92</v>
      </c>
    </row>
    <row r="78" spans="1:4" ht="13.5" thickBot="1" x14ac:dyDescent="0.25">
      <c r="A78" s="54" t="s">
        <v>2</v>
      </c>
      <c r="B78" s="58" t="s">
        <v>91</v>
      </c>
      <c r="C78" s="59">
        <f>8%*C77</f>
        <v>4.0000000000000002E-4</v>
      </c>
      <c r="D78" s="55">
        <f t="shared" si="6"/>
        <v>0.52</v>
      </c>
    </row>
    <row r="79" spans="1:4" ht="26.25" customHeight="1" thickBot="1" x14ac:dyDescent="0.25">
      <c r="A79" s="54" t="s">
        <v>3</v>
      </c>
      <c r="B79" s="58" t="s">
        <v>92</v>
      </c>
      <c r="C79" s="290">
        <v>3.4700000000000002E-2</v>
      </c>
      <c r="D79" s="55">
        <f t="shared" si="6"/>
        <v>44.69</v>
      </c>
    </row>
    <row r="80" spans="1:4" ht="15.75" customHeight="1" thickBot="1" x14ac:dyDescent="0.25">
      <c r="A80" s="54" t="s">
        <v>4</v>
      </c>
      <c r="B80" s="58" t="s">
        <v>23</v>
      </c>
      <c r="C80" s="59">
        <v>1.9400000000000001E-2</v>
      </c>
      <c r="D80" s="55">
        <f t="shared" si="6"/>
        <v>24.99</v>
      </c>
    </row>
    <row r="81" spans="1:4" ht="27" customHeight="1" thickBot="1" x14ac:dyDescent="0.25">
      <c r="A81" s="54" t="s">
        <v>5</v>
      </c>
      <c r="B81" s="58" t="s">
        <v>154</v>
      </c>
      <c r="C81" s="59">
        <f>1*36.8%*C80</f>
        <v>7.1000000000000004E-3</v>
      </c>
      <c r="D81" s="55">
        <f t="shared" si="6"/>
        <v>9.14</v>
      </c>
    </row>
    <row r="82" spans="1:4" ht="26.25" customHeight="1" thickBot="1" x14ac:dyDescent="0.25">
      <c r="A82" s="54" t="s">
        <v>6</v>
      </c>
      <c r="B82" s="58" t="s">
        <v>93</v>
      </c>
      <c r="C82" s="290">
        <v>2.0000000000000001E-4</v>
      </c>
      <c r="D82" s="55">
        <f t="shared" si="6"/>
        <v>0.26</v>
      </c>
    </row>
    <row r="83" spans="1:4" ht="13.5" thickBot="1" x14ac:dyDescent="0.25">
      <c r="A83" s="341" t="s">
        <v>89</v>
      </c>
      <c r="B83" s="343"/>
      <c r="C83" s="60">
        <f t="shared" ref="C83:D83" si="7">SUM(C77:C82)</f>
        <v>6.6400000000000001E-2</v>
      </c>
      <c r="D83" s="61">
        <f t="shared" si="7"/>
        <v>85.52</v>
      </c>
    </row>
    <row r="84" spans="1:4" ht="33.75" customHeight="1" thickBot="1" x14ac:dyDescent="0.25">
      <c r="A84" s="391" t="s">
        <v>147</v>
      </c>
      <c r="B84" s="391"/>
      <c r="C84" s="391"/>
      <c r="D84" s="391"/>
    </row>
    <row r="85" spans="1:4" ht="13.5" thickBot="1" x14ac:dyDescent="0.25">
      <c r="A85" s="344" t="s">
        <v>94</v>
      </c>
      <c r="B85" s="345"/>
      <c r="C85" s="345"/>
      <c r="D85" s="346"/>
    </row>
    <row r="86" spans="1:4" ht="15.75" customHeight="1" thickBot="1" x14ac:dyDescent="0.25">
      <c r="A86" s="341" t="s">
        <v>95</v>
      </c>
      <c r="B86" s="342"/>
      <c r="C86" s="342"/>
      <c r="D86" s="343"/>
    </row>
    <row r="87" spans="1:4" ht="15" customHeight="1" thickBot="1" x14ac:dyDescent="0.25">
      <c r="A87" s="52" t="s">
        <v>20</v>
      </c>
      <c r="B87" s="284" t="s">
        <v>96</v>
      </c>
      <c r="C87" s="52" t="s">
        <v>0</v>
      </c>
      <c r="D87" s="53" t="s">
        <v>88</v>
      </c>
    </row>
    <row r="88" spans="1:4" ht="13.5" thickBot="1" x14ac:dyDescent="0.25">
      <c r="A88" s="54" t="s">
        <v>1</v>
      </c>
      <c r="B88" s="58" t="s">
        <v>155</v>
      </c>
      <c r="C88" s="291">
        <v>9.0749999999999997E-2</v>
      </c>
      <c r="D88" s="63">
        <f>C88*$D$29</f>
        <v>116.88</v>
      </c>
    </row>
    <row r="89" spans="1:4" ht="13.5" thickBot="1" x14ac:dyDescent="0.25">
      <c r="A89" s="54" t="s">
        <v>2</v>
      </c>
      <c r="B89" s="58" t="s">
        <v>383</v>
      </c>
      <c r="C89" s="62">
        <v>4.1999999999999997E-3</v>
      </c>
      <c r="D89" s="63">
        <f>C89*$D$29</f>
        <v>5.41</v>
      </c>
    </row>
    <row r="90" spans="1:4" ht="15" customHeight="1" thickBot="1" x14ac:dyDescent="0.25">
      <c r="A90" s="54" t="s">
        <v>3</v>
      </c>
      <c r="B90" s="58" t="s">
        <v>98</v>
      </c>
      <c r="C90" s="62">
        <v>2.0000000000000001E-4</v>
      </c>
      <c r="D90" s="63">
        <f>C90*$D$29</f>
        <v>0.26</v>
      </c>
    </row>
    <row r="91" spans="1:4" ht="22.5" customHeight="1" thickBot="1" x14ac:dyDescent="0.25">
      <c r="A91" s="54" t="s">
        <v>4</v>
      </c>
      <c r="B91" s="58" t="s">
        <v>99</v>
      </c>
      <c r="C91" s="62">
        <v>4.1999999999999997E-3</v>
      </c>
      <c r="D91" s="63">
        <f>C91*$D$29</f>
        <v>5.41</v>
      </c>
    </row>
    <row r="92" spans="1:4" ht="13.5" thickBot="1" x14ac:dyDescent="0.25">
      <c r="A92" s="54" t="s">
        <v>5</v>
      </c>
      <c r="B92" s="58" t="s">
        <v>156</v>
      </c>
      <c r="C92" s="62">
        <v>2.0000000000000001E-4</v>
      </c>
      <c r="D92" s="63">
        <f>C92*$D$29</f>
        <v>0.26</v>
      </c>
    </row>
    <row r="93" spans="1:4" ht="39" thickBot="1" x14ac:dyDescent="0.25">
      <c r="A93" s="54" t="s">
        <v>6</v>
      </c>
      <c r="B93" s="58" t="s">
        <v>384</v>
      </c>
      <c r="C93" s="273">
        <f>SUM(C88:C91)*C52</f>
        <v>3.6600000000000001E-2</v>
      </c>
      <c r="D93" s="63">
        <f t="shared" ref="D93" si="8">C93*$D$29</f>
        <v>47.14</v>
      </c>
    </row>
    <row r="94" spans="1:4" ht="13.5" thickBot="1" x14ac:dyDescent="0.25">
      <c r="A94" s="341" t="s">
        <v>63</v>
      </c>
      <c r="B94" s="342"/>
      <c r="C94" s="64">
        <f t="shared" ref="C94:D94" si="9">SUM(C88:C93)</f>
        <v>0.13619999999999999</v>
      </c>
      <c r="D94" s="61">
        <f t="shared" si="9"/>
        <v>175.36</v>
      </c>
    </row>
    <row r="95" spans="1:4" ht="36.75" customHeight="1" thickBot="1" x14ac:dyDescent="0.25">
      <c r="A95" s="357" t="s">
        <v>153</v>
      </c>
      <c r="B95" s="357"/>
      <c r="C95" s="357"/>
      <c r="D95" s="357"/>
    </row>
    <row r="96" spans="1:4" ht="15.75" customHeight="1" thickBot="1" x14ac:dyDescent="0.25">
      <c r="A96" s="344" t="s">
        <v>101</v>
      </c>
      <c r="B96" s="345"/>
      <c r="C96" s="345"/>
      <c r="D96" s="346"/>
    </row>
    <row r="97" spans="1:4" ht="15.75" customHeight="1" thickBot="1" x14ac:dyDescent="0.25">
      <c r="A97" s="52" t="s">
        <v>21</v>
      </c>
      <c r="B97" s="341" t="s">
        <v>102</v>
      </c>
      <c r="C97" s="343"/>
      <c r="D97" s="53" t="s">
        <v>88</v>
      </c>
    </row>
    <row r="98" spans="1:4" ht="15" customHeight="1" thickBot="1" x14ac:dyDescent="0.25">
      <c r="A98" s="54" t="s">
        <v>1</v>
      </c>
      <c r="B98" s="339" t="s">
        <v>157</v>
      </c>
      <c r="C98" s="340"/>
      <c r="D98" s="55">
        <v>0</v>
      </c>
    </row>
    <row r="99" spans="1:4" ht="15.75" customHeight="1" thickBot="1" x14ac:dyDescent="0.25">
      <c r="A99" s="341" t="s">
        <v>89</v>
      </c>
      <c r="B99" s="342"/>
      <c r="C99" s="343"/>
      <c r="D99" s="55">
        <f>SUM(D98)</f>
        <v>0</v>
      </c>
    </row>
    <row r="100" spans="1:4" ht="13.5" thickBot="1" x14ac:dyDescent="0.25">
      <c r="A100" s="48"/>
      <c r="B100" s="49"/>
      <c r="C100" s="50"/>
      <c r="D100" s="51"/>
    </row>
    <row r="101" spans="1:4" ht="13.5" thickBot="1" x14ac:dyDescent="0.25">
      <c r="A101" s="344" t="s">
        <v>103</v>
      </c>
      <c r="B101" s="345"/>
      <c r="C101" s="345"/>
      <c r="D101" s="346"/>
    </row>
    <row r="102" spans="1:4" ht="13.5" thickBot="1" x14ac:dyDescent="0.25">
      <c r="A102" s="52">
        <v>4</v>
      </c>
      <c r="B102" s="341" t="s">
        <v>104</v>
      </c>
      <c r="C102" s="343"/>
      <c r="D102" s="53" t="s">
        <v>88</v>
      </c>
    </row>
    <row r="103" spans="1:4" ht="15" customHeight="1" thickBot="1" x14ac:dyDescent="0.25">
      <c r="A103" s="54" t="s">
        <v>20</v>
      </c>
      <c r="B103" s="339" t="s">
        <v>96</v>
      </c>
      <c r="C103" s="340"/>
      <c r="D103" s="55">
        <f>D94</f>
        <v>175.36</v>
      </c>
    </row>
    <row r="104" spans="1:4" ht="15.75" customHeight="1" thickBot="1" x14ac:dyDescent="0.25">
      <c r="A104" s="54" t="s">
        <v>21</v>
      </c>
      <c r="B104" s="339" t="s">
        <v>102</v>
      </c>
      <c r="C104" s="340"/>
      <c r="D104" s="55">
        <f>D99</f>
        <v>0</v>
      </c>
    </row>
    <row r="105" spans="1:4" ht="15.75" customHeight="1" thickBot="1" x14ac:dyDescent="0.25">
      <c r="A105" s="341" t="s">
        <v>89</v>
      </c>
      <c r="B105" s="342"/>
      <c r="C105" s="343"/>
      <c r="D105" s="61">
        <f>SUM(D103:D104)</f>
        <v>175.36</v>
      </c>
    </row>
    <row r="106" spans="1:4" ht="15.75" customHeight="1" thickBot="1" x14ac:dyDescent="0.25">
      <c r="A106" s="48"/>
      <c r="B106" s="49"/>
      <c r="C106" s="50"/>
      <c r="D106" s="51"/>
    </row>
    <row r="107" spans="1:4" ht="15.75" customHeight="1" thickBot="1" x14ac:dyDescent="0.25">
      <c r="A107" s="344" t="s">
        <v>105</v>
      </c>
      <c r="B107" s="345"/>
      <c r="C107" s="345"/>
      <c r="D107" s="346"/>
    </row>
    <row r="108" spans="1:4" ht="15.75" customHeight="1" thickBot="1" x14ac:dyDescent="0.25">
      <c r="A108" s="52">
        <v>5</v>
      </c>
      <c r="B108" s="341" t="s">
        <v>18</v>
      </c>
      <c r="C108" s="343"/>
      <c r="D108" s="53" t="s">
        <v>88</v>
      </c>
    </row>
    <row r="109" spans="1:4" ht="13.5" thickBot="1" x14ac:dyDescent="0.25">
      <c r="A109" s="54" t="s">
        <v>1</v>
      </c>
      <c r="B109" s="339" t="s">
        <v>19</v>
      </c>
      <c r="C109" s="340"/>
      <c r="D109" s="55">
        <f>Uniformes!G16</f>
        <v>98.46</v>
      </c>
    </row>
    <row r="110" spans="1:4" ht="13.5" thickBot="1" x14ac:dyDescent="0.25">
      <c r="A110" s="54" t="s">
        <v>2</v>
      </c>
      <c r="B110" s="339" t="s">
        <v>27</v>
      </c>
      <c r="C110" s="340"/>
      <c r="D110" s="55">
        <f>Materiais!H98</f>
        <v>5.62</v>
      </c>
    </row>
    <row r="111" spans="1:4" ht="13.5" thickBot="1" x14ac:dyDescent="0.25">
      <c r="A111" s="54" t="s">
        <v>3</v>
      </c>
      <c r="B111" s="339" t="s">
        <v>345</v>
      </c>
      <c r="C111" s="340"/>
      <c r="D111" s="55">
        <f>Equipamento!G53</f>
        <v>6.28</v>
      </c>
    </row>
    <row r="112" spans="1:4" ht="15" customHeight="1" thickBot="1" x14ac:dyDescent="0.25">
      <c r="A112" s="54" t="s">
        <v>4</v>
      </c>
      <c r="B112" s="339" t="s">
        <v>347</v>
      </c>
      <c r="C112" s="340"/>
      <c r="D112" s="55">
        <v>0</v>
      </c>
    </row>
    <row r="113" spans="1:5" ht="15.75" customHeight="1" thickBot="1" x14ac:dyDescent="0.25">
      <c r="A113" s="341" t="s">
        <v>63</v>
      </c>
      <c r="B113" s="342"/>
      <c r="C113" s="343"/>
      <c r="D113" s="56">
        <f>SUM(D109:D112)</f>
        <v>110.36</v>
      </c>
    </row>
    <row r="114" spans="1:5" ht="13.5" thickBot="1" x14ac:dyDescent="0.25">
      <c r="A114" s="48"/>
      <c r="B114" s="49"/>
      <c r="C114" s="50"/>
      <c r="D114" s="51"/>
    </row>
    <row r="115" spans="1:5" ht="15.75" customHeight="1" thickBot="1" x14ac:dyDescent="0.25">
      <c r="A115" s="344" t="s">
        <v>106</v>
      </c>
      <c r="B115" s="345"/>
      <c r="C115" s="345"/>
      <c r="D115" s="346"/>
    </row>
    <row r="116" spans="1:5" ht="18" customHeight="1" thickBot="1" x14ac:dyDescent="0.25">
      <c r="A116" s="52">
        <v>6</v>
      </c>
      <c r="B116" s="65" t="s">
        <v>24</v>
      </c>
      <c r="C116" s="285" t="s">
        <v>0</v>
      </c>
      <c r="D116" s="53" t="s">
        <v>88</v>
      </c>
    </row>
    <row r="117" spans="1:5" ht="15.75" customHeight="1" thickBot="1" x14ac:dyDescent="0.25">
      <c r="A117" s="54" t="s">
        <v>1</v>
      </c>
      <c r="B117" s="66" t="s">
        <v>25</v>
      </c>
      <c r="C117" s="62">
        <v>0.05</v>
      </c>
      <c r="D117" s="55">
        <f>C117*D135</f>
        <v>171.51</v>
      </c>
    </row>
    <row r="118" spans="1:5" ht="13.5" thickBot="1" x14ac:dyDescent="0.25">
      <c r="A118" s="54" t="s">
        <v>2</v>
      </c>
      <c r="B118" s="66" t="s">
        <v>108</v>
      </c>
      <c r="C118" s="62">
        <v>3.0499999999999999E-2</v>
      </c>
      <c r="D118" s="55">
        <f>(D117+D135)*C118</f>
        <v>109.85</v>
      </c>
    </row>
    <row r="119" spans="1:5" ht="13.5" thickBot="1" x14ac:dyDescent="0.25">
      <c r="A119" s="54" t="s">
        <v>3</v>
      </c>
      <c r="B119" s="66" t="s">
        <v>109</v>
      </c>
      <c r="C119" s="62">
        <f>C120+C121+C122</f>
        <v>0.14249999999999999</v>
      </c>
      <c r="D119" s="55">
        <f>((D117+D118+D135)/(1-C119))*C119</f>
        <v>616.79</v>
      </c>
      <c r="E119" s="97"/>
    </row>
    <row r="120" spans="1:5" ht="13.5" thickBot="1" x14ac:dyDescent="0.25">
      <c r="A120" s="54"/>
      <c r="B120" s="66" t="s">
        <v>110</v>
      </c>
      <c r="C120" s="62">
        <v>9.2499999999999999E-2</v>
      </c>
      <c r="D120" s="55">
        <f>D137*C120</f>
        <v>400.37</v>
      </c>
    </row>
    <row r="121" spans="1:5" ht="13.5" thickBot="1" x14ac:dyDescent="0.25">
      <c r="A121" s="54"/>
      <c r="B121" s="66" t="s">
        <v>111</v>
      </c>
      <c r="C121" s="67">
        <v>0.05</v>
      </c>
      <c r="D121" s="55">
        <f>C121*D137</f>
        <v>216.42</v>
      </c>
    </row>
    <row r="122" spans="1:5" ht="13.5" thickBot="1" x14ac:dyDescent="0.25">
      <c r="A122" s="54"/>
      <c r="B122" s="66" t="s">
        <v>112</v>
      </c>
      <c r="C122" s="67">
        <v>0</v>
      </c>
      <c r="D122" s="55">
        <f>C122*D137</f>
        <v>0</v>
      </c>
    </row>
    <row r="123" spans="1:5" ht="13.5" thickBot="1" x14ac:dyDescent="0.25">
      <c r="A123" s="341" t="s">
        <v>63</v>
      </c>
      <c r="B123" s="343"/>
      <c r="C123" s="64">
        <f>C119+C117+C118</f>
        <v>0.223</v>
      </c>
      <c r="D123" s="53">
        <f>SUM(D117,D118,D119)</f>
        <v>898.15</v>
      </c>
    </row>
    <row r="124" spans="1:5" x14ac:dyDescent="0.2">
      <c r="A124" s="79" t="s">
        <v>148</v>
      </c>
      <c r="B124" s="49"/>
      <c r="C124" s="50"/>
      <c r="D124" s="51"/>
    </row>
    <row r="125" spans="1:5" ht="21.75" customHeight="1" x14ac:dyDescent="0.2">
      <c r="A125" s="351" t="s">
        <v>149</v>
      </c>
      <c r="B125" s="351"/>
      <c r="C125" s="351"/>
      <c r="D125" s="351"/>
    </row>
    <row r="126" spans="1:5" x14ac:dyDescent="0.2">
      <c r="A126" s="79" t="s">
        <v>150</v>
      </c>
      <c r="B126" s="49"/>
      <c r="C126" s="50"/>
      <c r="D126" s="51"/>
    </row>
    <row r="127" spans="1:5" ht="13.5" thickBot="1" x14ac:dyDescent="0.25">
      <c r="A127" s="48"/>
      <c r="B127" s="49"/>
      <c r="C127" s="50"/>
      <c r="D127" s="51"/>
    </row>
    <row r="128" spans="1:5" ht="15" customHeight="1" thickBot="1" x14ac:dyDescent="0.25">
      <c r="A128" s="344" t="s">
        <v>113</v>
      </c>
      <c r="B128" s="345"/>
      <c r="C128" s="345"/>
      <c r="D128" s="346"/>
    </row>
    <row r="129" spans="1:4" ht="21.75" customHeight="1" thickBot="1" x14ac:dyDescent="0.25">
      <c r="A129" s="52"/>
      <c r="B129" s="349" t="s">
        <v>114</v>
      </c>
      <c r="C129" s="350"/>
      <c r="D129" s="53" t="s">
        <v>88</v>
      </c>
    </row>
    <row r="130" spans="1:4" ht="15.75" customHeight="1" thickBot="1" x14ac:dyDescent="0.25">
      <c r="A130" s="68" t="s">
        <v>1</v>
      </c>
      <c r="B130" s="347" t="s">
        <v>26</v>
      </c>
      <c r="C130" s="348"/>
      <c r="D130" s="55">
        <f>D29</f>
        <v>1287.96</v>
      </c>
    </row>
    <row r="131" spans="1:4" ht="15.75" customHeight="1" thickBot="1" x14ac:dyDescent="0.25">
      <c r="A131" s="68" t="s">
        <v>2</v>
      </c>
      <c r="B131" s="339" t="s">
        <v>56</v>
      </c>
      <c r="C131" s="340"/>
      <c r="D131" s="55">
        <f>D74</f>
        <v>1770.98</v>
      </c>
    </row>
    <row r="132" spans="1:4" ht="13.5" thickBot="1" x14ac:dyDescent="0.25">
      <c r="A132" s="68" t="s">
        <v>3</v>
      </c>
      <c r="B132" s="339" t="s">
        <v>90</v>
      </c>
      <c r="C132" s="340"/>
      <c r="D132" s="55">
        <f>D83</f>
        <v>85.52</v>
      </c>
    </row>
    <row r="133" spans="1:4" ht="15.75" customHeight="1" thickBot="1" x14ac:dyDescent="0.25">
      <c r="A133" s="68" t="s">
        <v>4</v>
      </c>
      <c r="B133" s="339" t="s">
        <v>94</v>
      </c>
      <c r="C133" s="340"/>
      <c r="D133" s="55">
        <f>D105</f>
        <v>175.36</v>
      </c>
    </row>
    <row r="134" spans="1:4" ht="15" customHeight="1" thickBot="1" x14ac:dyDescent="0.25">
      <c r="A134" s="68" t="s">
        <v>5</v>
      </c>
      <c r="B134" s="339" t="s">
        <v>105</v>
      </c>
      <c r="C134" s="340"/>
      <c r="D134" s="55">
        <f>D113</f>
        <v>110.36</v>
      </c>
    </row>
    <row r="135" spans="1:4" ht="13.5" thickBot="1" x14ac:dyDescent="0.25">
      <c r="A135" s="341" t="s">
        <v>115</v>
      </c>
      <c r="B135" s="342"/>
      <c r="C135" s="343"/>
      <c r="D135" s="55">
        <f>SUM(D130:D134)</f>
        <v>3430.18</v>
      </c>
    </row>
    <row r="136" spans="1:4" ht="14.25" customHeight="1" thickBot="1" x14ac:dyDescent="0.25">
      <c r="A136" s="68" t="s">
        <v>6</v>
      </c>
      <c r="B136" s="347" t="s">
        <v>116</v>
      </c>
      <c r="C136" s="348"/>
      <c r="D136" s="69">
        <f>D123</f>
        <v>898.15</v>
      </c>
    </row>
    <row r="137" spans="1:4" ht="15" customHeight="1" thickBot="1" x14ac:dyDescent="0.25">
      <c r="A137" s="341" t="s">
        <v>117</v>
      </c>
      <c r="B137" s="342"/>
      <c r="C137" s="343"/>
      <c r="D137" s="70">
        <f>ROUND((D135+D136),2)</f>
        <v>4328.33</v>
      </c>
    </row>
    <row r="138" spans="1:4" ht="21" customHeight="1" x14ac:dyDescent="0.2">
      <c r="A138" s="369"/>
      <c r="B138" s="369"/>
      <c r="C138" s="369"/>
      <c r="D138" s="369"/>
    </row>
    <row r="139" spans="1:4" ht="15" customHeight="1" x14ac:dyDescent="0.2"/>
    <row r="140" spans="1:4" ht="15" customHeight="1" x14ac:dyDescent="0.2"/>
    <row r="142" spans="1:4" ht="15" customHeight="1" x14ac:dyDescent="0.2"/>
    <row r="143" spans="1:4" ht="14.25" customHeight="1" x14ac:dyDescent="0.2"/>
  </sheetData>
  <mergeCells count="86">
    <mergeCell ref="A6:D6"/>
    <mergeCell ref="A1:D1"/>
    <mergeCell ref="A2:D2"/>
    <mergeCell ref="A3:D3"/>
    <mergeCell ref="A4:D4"/>
    <mergeCell ref="A5:D5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86:D8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85:D85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B130:C130"/>
    <mergeCell ref="B108:C108"/>
    <mergeCell ref="B109:C109"/>
    <mergeCell ref="B110:C110"/>
    <mergeCell ref="B111:C111"/>
    <mergeCell ref="B112:C112"/>
    <mergeCell ref="A113:C113"/>
    <mergeCell ref="A115:D115"/>
    <mergeCell ref="A123:B123"/>
    <mergeCell ref="A125:D125"/>
    <mergeCell ref="A128:D128"/>
    <mergeCell ref="B129:C129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3"/>
  <sheetViews>
    <sheetView showGridLines="0" workbookViewId="0">
      <selection activeCell="G91" sqref="G91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16384" width="9.140625" style="13"/>
  </cols>
  <sheetData>
    <row r="1" spans="1:4" ht="12.75" customHeight="1" x14ac:dyDescent="0.2">
      <c r="A1" s="367" t="s">
        <v>28</v>
      </c>
      <c r="B1" s="368"/>
      <c r="C1" s="368"/>
      <c r="D1" s="368"/>
    </row>
    <row r="2" spans="1:4" ht="12.75" customHeight="1" x14ac:dyDescent="0.2">
      <c r="A2" s="367" t="s">
        <v>29</v>
      </c>
      <c r="B2" s="368"/>
      <c r="C2" s="368"/>
      <c r="D2" s="368"/>
    </row>
    <row r="3" spans="1:4" ht="12.75" customHeight="1" x14ac:dyDescent="0.2">
      <c r="A3" s="367" t="s">
        <v>171</v>
      </c>
      <c r="B3" s="368"/>
      <c r="C3" s="368"/>
      <c r="D3" s="368"/>
    </row>
    <row r="4" spans="1:4" ht="15" customHeight="1" x14ac:dyDescent="0.2">
      <c r="A4" s="367" t="s">
        <v>172</v>
      </c>
      <c r="B4" s="368"/>
      <c r="C4" s="368"/>
      <c r="D4" s="368"/>
    </row>
    <row r="5" spans="1:4" ht="3.75" customHeight="1" x14ac:dyDescent="0.2">
      <c r="A5" s="367"/>
      <c r="B5" s="368"/>
      <c r="C5" s="368"/>
      <c r="D5" s="368"/>
    </row>
    <row r="6" spans="1:4" ht="13.5" thickBot="1" x14ac:dyDescent="0.25">
      <c r="A6" s="370" t="s">
        <v>30</v>
      </c>
      <c r="B6" s="371"/>
      <c r="C6" s="371"/>
      <c r="D6" s="371"/>
    </row>
    <row r="7" spans="1:4" x14ac:dyDescent="0.2">
      <c r="A7" s="372" t="s">
        <v>130</v>
      </c>
      <c r="B7" s="373"/>
      <c r="C7" s="373"/>
      <c r="D7" s="374"/>
    </row>
    <row r="8" spans="1:4" ht="13.5" customHeight="1" thickBot="1" x14ac:dyDescent="0.25">
      <c r="A8" s="370" t="s">
        <v>131</v>
      </c>
      <c r="B8" s="371"/>
      <c r="C8" s="371"/>
      <c r="D8" s="382"/>
    </row>
    <row r="9" spans="1:4" ht="13.5" thickBot="1" x14ac:dyDescent="0.25">
      <c r="A9" s="383" t="s">
        <v>14</v>
      </c>
      <c r="B9" s="384"/>
      <c r="C9" s="384"/>
      <c r="D9" s="384"/>
    </row>
    <row r="10" spans="1:4" x14ac:dyDescent="0.2">
      <c r="A10" s="3" t="s">
        <v>31</v>
      </c>
      <c r="B10" s="385" t="s">
        <v>32</v>
      </c>
      <c r="C10" s="385"/>
      <c r="D10" s="4" t="s">
        <v>170</v>
      </c>
    </row>
    <row r="11" spans="1:4" x14ac:dyDescent="0.2">
      <c r="A11" s="5" t="s">
        <v>33</v>
      </c>
      <c r="B11" s="386" t="s">
        <v>34</v>
      </c>
      <c r="C11" s="386"/>
      <c r="D11" s="6" t="s">
        <v>35</v>
      </c>
    </row>
    <row r="12" spans="1:4" ht="25.5" x14ac:dyDescent="0.2">
      <c r="A12" s="5" t="s">
        <v>36</v>
      </c>
      <c r="B12" s="387" t="s">
        <v>37</v>
      </c>
      <c r="C12" s="388"/>
      <c r="D12" s="115" t="s">
        <v>399</v>
      </c>
    </row>
    <row r="13" spans="1:4" ht="13.5" thickBot="1" x14ac:dyDescent="0.25">
      <c r="A13" s="7" t="s">
        <v>4</v>
      </c>
      <c r="B13" s="375" t="s">
        <v>38</v>
      </c>
      <c r="C13" s="375"/>
      <c r="D13" s="8">
        <v>12</v>
      </c>
    </row>
    <row r="14" spans="1:4" ht="13.5" thickBot="1" x14ac:dyDescent="0.25">
      <c r="A14" s="378" t="s">
        <v>39</v>
      </c>
      <c r="B14" s="379"/>
      <c r="C14" s="379"/>
      <c r="D14" s="379"/>
    </row>
    <row r="15" spans="1:4" ht="25.5" x14ac:dyDescent="0.2">
      <c r="A15" s="80">
        <v>1</v>
      </c>
      <c r="B15" s="81" t="s">
        <v>40</v>
      </c>
      <c r="C15" s="380" t="s">
        <v>169</v>
      </c>
      <c r="D15" s="381"/>
    </row>
    <row r="16" spans="1:4" x14ac:dyDescent="0.2">
      <c r="A16" s="10">
        <v>2</v>
      </c>
      <c r="B16" s="361" t="s">
        <v>15</v>
      </c>
      <c r="C16" s="355"/>
      <c r="D16" s="11">
        <v>1287.96</v>
      </c>
    </row>
    <row r="17" spans="1:4" x14ac:dyDescent="0.2">
      <c r="A17" s="10">
        <v>3</v>
      </c>
      <c r="B17" s="361" t="s">
        <v>41</v>
      </c>
      <c r="C17" s="362"/>
      <c r="D17" s="12" t="s">
        <v>377</v>
      </c>
    </row>
    <row r="18" spans="1:4" x14ac:dyDescent="0.2">
      <c r="A18" s="1">
        <v>4</v>
      </c>
      <c r="B18" s="116" t="s">
        <v>132</v>
      </c>
      <c r="C18" s="288"/>
      <c r="D18" s="124" t="s">
        <v>386</v>
      </c>
    </row>
    <row r="19" spans="1:4" ht="13.5" thickBot="1" x14ac:dyDescent="0.25">
      <c r="A19" s="2">
        <v>5</v>
      </c>
      <c r="B19" s="363" t="s">
        <v>42</v>
      </c>
      <c r="C19" s="364"/>
      <c r="D19" s="120">
        <v>44197</v>
      </c>
    </row>
    <row r="20" spans="1:4" ht="13.5" thickBot="1" x14ac:dyDescent="0.25">
      <c r="A20" s="365" t="s">
        <v>26</v>
      </c>
      <c r="B20" s="366"/>
      <c r="C20" s="366"/>
      <c r="D20" s="366"/>
    </row>
    <row r="21" spans="1:4" ht="13.5" thickBot="1" x14ac:dyDescent="0.25">
      <c r="A21" s="287">
        <v>1</v>
      </c>
      <c r="B21" s="376" t="s">
        <v>43</v>
      </c>
      <c r="C21" s="377"/>
      <c r="D21" s="14" t="s">
        <v>44</v>
      </c>
    </row>
    <row r="22" spans="1:4" x14ac:dyDescent="0.2">
      <c r="A22" s="15" t="s">
        <v>31</v>
      </c>
      <c r="B22" s="356" t="s">
        <v>45</v>
      </c>
      <c r="C22" s="356"/>
      <c r="D22" s="16">
        <f>D16</f>
        <v>1287.96</v>
      </c>
    </row>
    <row r="23" spans="1:4" x14ac:dyDescent="0.2">
      <c r="A23" s="17" t="s">
        <v>33</v>
      </c>
      <c r="B23" s="286" t="s">
        <v>16</v>
      </c>
      <c r="C23" s="18">
        <v>0</v>
      </c>
      <c r="D23" s="19">
        <f t="shared" ref="D23" si="0">C23*D22</f>
        <v>0</v>
      </c>
    </row>
    <row r="24" spans="1:4" x14ac:dyDescent="0.2">
      <c r="A24" s="17" t="s">
        <v>36</v>
      </c>
      <c r="B24" s="358" t="s">
        <v>46</v>
      </c>
      <c r="C24" s="358"/>
      <c r="D24" s="19">
        <f>1287.96*20%</f>
        <v>257.58999999999997</v>
      </c>
    </row>
    <row r="25" spans="1:4" x14ac:dyDescent="0.2">
      <c r="A25" s="17" t="s">
        <v>47</v>
      </c>
      <c r="B25" s="286" t="s">
        <v>48</v>
      </c>
      <c r="C25" s="20">
        <v>0</v>
      </c>
      <c r="D25" s="19">
        <v>0</v>
      </c>
    </row>
    <row r="26" spans="1:4" x14ac:dyDescent="0.2">
      <c r="A26" s="17" t="s">
        <v>49</v>
      </c>
      <c r="B26" s="358" t="s">
        <v>50</v>
      </c>
      <c r="C26" s="358"/>
      <c r="D26" s="19">
        <f t="shared" ref="D26" si="1">D22/220*0.2*0*15</f>
        <v>0</v>
      </c>
    </row>
    <row r="27" spans="1:4" x14ac:dyDescent="0.2">
      <c r="A27" s="17" t="s">
        <v>51</v>
      </c>
      <c r="B27" s="358" t="s">
        <v>52</v>
      </c>
      <c r="C27" s="358"/>
      <c r="D27" s="19">
        <v>0</v>
      </c>
    </row>
    <row r="28" spans="1:4" x14ac:dyDescent="0.2">
      <c r="A28" s="21" t="s">
        <v>53</v>
      </c>
      <c r="B28" s="359" t="s">
        <v>54</v>
      </c>
      <c r="C28" s="359"/>
      <c r="D28" s="22">
        <v>0</v>
      </c>
    </row>
    <row r="29" spans="1:4" ht="13.5" thickBot="1" x14ac:dyDescent="0.25">
      <c r="A29" s="352" t="s">
        <v>55</v>
      </c>
      <c r="B29" s="360"/>
      <c r="C29" s="353"/>
      <c r="D29" s="23">
        <f t="shared" ref="D29" si="2">ROUND(SUM(D22:D28),2)</f>
        <v>1545.55</v>
      </c>
    </row>
    <row r="30" spans="1:4" ht="13.5" thickBot="1" x14ac:dyDescent="0.25">
      <c r="A30" s="289" t="s">
        <v>141</v>
      </c>
      <c r="B30" s="77"/>
      <c r="C30" s="24"/>
      <c r="D30" s="25"/>
    </row>
    <row r="31" spans="1:4" ht="13.5" thickBot="1" x14ac:dyDescent="0.25">
      <c r="A31" s="344" t="s">
        <v>56</v>
      </c>
      <c r="B31" s="345"/>
      <c r="C31" s="345"/>
      <c r="D31" s="346"/>
    </row>
    <row r="32" spans="1:4" ht="13.5" thickBot="1" x14ac:dyDescent="0.25">
      <c r="A32" s="344" t="s">
        <v>57</v>
      </c>
      <c r="B32" s="345"/>
      <c r="C32" s="345"/>
      <c r="D32" s="346"/>
    </row>
    <row r="33" spans="1:5" ht="13.5" thickBot="1" x14ac:dyDescent="0.25">
      <c r="A33" s="27" t="s">
        <v>58</v>
      </c>
      <c r="B33" s="28" t="s">
        <v>59</v>
      </c>
      <c r="C33" s="29" t="s">
        <v>60</v>
      </c>
      <c r="D33" s="30" t="s">
        <v>44</v>
      </c>
    </row>
    <row r="34" spans="1:5" x14ac:dyDescent="0.2">
      <c r="A34" s="9" t="s">
        <v>31</v>
      </c>
      <c r="B34" s="31" t="s">
        <v>61</v>
      </c>
      <c r="C34" s="32">
        <v>8.3299999999999999E-2</v>
      </c>
      <c r="D34" s="11">
        <f>ROUND(D$29*C34,2)</f>
        <v>128.74</v>
      </c>
    </row>
    <row r="35" spans="1:5" x14ac:dyDescent="0.2">
      <c r="A35" s="10" t="s">
        <v>33</v>
      </c>
      <c r="B35" s="33" t="s">
        <v>62</v>
      </c>
      <c r="C35" s="34">
        <v>0.121</v>
      </c>
      <c r="D35" s="11">
        <f t="shared" ref="D35" si="3">ROUND(D$29*C35,2)</f>
        <v>187.01</v>
      </c>
    </row>
    <row r="36" spans="1:5" ht="13.5" thickBot="1" x14ac:dyDescent="0.25">
      <c r="A36" s="335" t="s">
        <v>164</v>
      </c>
      <c r="B36" s="336"/>
      <c r="C36" s="82">
        <f>SUM(A34:C35)</f>
        <v>0.20430000000000001</v>
      </c>
      <c r="D36" s="11">
        <f>SUM(D34:D35)</f>
        <v>315.75</v>
      </c>
    </row>
    <row r="37" spans="1:5" ht="25.5" x14ac:dyDescent="0.2">
      <c r="A37" s="1" t="s">
        <v>3</v>
      </c>
      <c r="B37" s="83" t="s">
        <v>165</v>
      </c>
      <c r="C37" s="84">
        <f>C36*C52</f>
        <v>7.5200000000000003E-2</v>
      </c>
      <c r="D37" s="11">
        <f>ROUND(D$29*C37,2)</f>
        <v>116.23</v>
      </c>
      <c r="E37" s="96"/>
    </row>
    <row r="38" spans="1:5" x14ac:dyDescent="0.2">
      <c r="A38" s="337" t="s">
        <v>63</v>
      </c>
      <c r="B38" s="338"/>
      <c r="C38" s="338"/>
      <c r="D38" s="11">
        <f>SUM(D36:D37)</f>
        <v>431.98</v>
      </c>
    </row>
    <row r="39" spans="1:5" ht="31.5" customHeight="1" x14ac:dyDescent="0.2">
      <c r="A39" s="389" t="s">
        <v>151</v>
      </c>
      <c r="B39" s="389"/>
      <c r="C39" s="389"/>
      <c r="D39" s="389"/>
    </row>
    <row r="40" spans="1:5" ht="22.5" customHeight="1" x14ac:dyDescent="0.2">
      <c r="A40" s="389" t="s">
        <v>142</v>
      </c>
      <c r="B40" s="389"/>
      <c r="C40" s="389"/>
      <c r="D40" s="389"/>
    </row>
    <row r="41" spans="1:5" ht="33" customHeight="1" thickBot="1" x14ac:dyDescent="0.25">
      <c r="A41" s="390" t="s">
        <v>152</v>
      </c>
      <c r="B41" s="390"/>
      <c r="C41" s="390"/>
      <c r="D41" s="390"/>
    </row>
    <row r="42" spans="1:5" ht="24.75" customHeight="1" thickBot="1" x14ac:dyDescent="0.25">
      <c r="A42" s="349" t="s">
        <v>64</v>
      </c>
      <c r="B42" s="394"/>
      <c r="C42" s="394"/>
      <c r="D42" s="350"/>
    </row>
    <row r="43" spans="1:5" ht="13.5" thickBot="1" x14ac:dyDescent="0.25">
      <c r="A43" s="27" t="s">
        <v>65</v>
      </c>
      <c r="B43" s="285" t="s">
        <v>66</v>
      </c>
      <c r="C43" s="29" t="s">
        <v>60</v>
      </c>
      <c r="D43" s="30" t="s">
        <v>44</v>
      </c>
    </row>
    <row r="44" spans="1:5" x14ac:dyDescent="0.2">
      <c r="A44" s="9" t="s">
        <v>31</v>
      </c>
      <c r="B44" s="31" t="s">
        <v>67</v>
      </c>
      <c r="C44" s="32">
        <v>0.2</v>
      </c>
      <c r="D44" s="11">
        <f>ROUND(D$29*C44,2)</f>
        <v>309.11</v>
      </c>
    </row>
    <row r="45" spans="1:5" x14ac:dyDescent="0.2">
      <c r="A45" s="10" t="s">
        <v>33</v>
      </c>
      <c r="B45" s="33" t="s">
        <v>68</v>
      </c>
      <c r="C45" s="34">
        <v>2.5000000000000001E-2</v>
      </c>
      <c r="D45" s="11">
        <f t="shared" ref="D45:D51" si="4">ROUND(D$29*C45,2)</f>
        <v>38.64</v>
      </c>
    </row>
    <row r="46" spans="1:5" x14ac:dyDescent="0.2">
      <c r="A46" s="10" t="s">
        <v>36</v>
      </c>
      <c r="B46" s="33" t="s">
        <v>69</v>
      </c>
      <c r="C46" s="98">
        <v>0.03</v>
      </c>
      <c r="D46" s="11">
        <f t="shared" si="4"/>
        <v>46.37</v>
      </c>
    </row>
    <row r="47" spans="1:5" x14ac:dyDescent="0.2">
      <c r="A47" s="10" t="s">
        <v>47</v>
      </c>
      <c r="B47" s="33" t="s">
        <v>70</v>
      </c>
      <c r="C47" s="34">
        <v>1.4999999999999999E-2</v>
      </c>
      <c r="D47" s="11">
        <f t="shared" si="4"/>
        <v>23.18</v>
      </c>
    </row>
    <row r="48" spans="1:5" x14ac:dyDescent="0.2">
      <c r="A48" s="10" t="s">
        <v>49</v>
      </c>
      <c r="B48" s="33" t="s">
        <v>71</v>
      </c>
      <c r="C48" s="34">
        <v>0.01</v>
      </c>
      <c r="D48" s="11">
        <f t="shared" si="4"/>
        <v>15.46</v>
      </c>
    </row>
    <row r="49" spans="1:5" x14ac:dyDescent="0.2">
      <c r="A49" s="10" t="s">
        <v>72</v>
      </c>
      <c r="B49" s="33" t="s">
        <v>73</v>
      </c>
      <c r="C49" s="34">
        <v>6.0000000000000001E-3</v>
      </c>
      <c r="D49" s="11">
        <f t="shared" si="4"/>
        <v>9.27</v>
      </c>
    </row>
    <row r="50" spans="1:5" x14ac:dyDescent="0.2">
      <c r="A50" s="10" t="s">
        <v>51</v>
      </c>
      <c r="B50" s="33" t="s">
        <v>10</v>
      </c>
      <c r="C50" s="34">
        <v>2E-3</v>
      </c>
      <c r="D50" s="11">
        <f t="shared" si="4"/>
        <v>3.09</v>
      </c>
    </row>
    <row r="51" spans="1:5" x14ac:dyDescent="0.2">
      <c r="A51" s="1" t="s">
        <v>53</v>
      </c>
      <c r="B51" s="35" t="s">
        <v>11</v>
      </c>
      <c r="C51" s="34">
        <v>0.08</v>
      </c>
      <c r="D51" s="11">
        <f t="shared" si="4"/>
        <v>123.64</v>
      </c>
    </row>
    <row r="52" spans="1:5" ht="13.5" thickBot="1" x14ac:dyDescent="0.25">
      <c r="A52" s="352" t="s">
        <v>74</v>
      </c>
      <c r="B52" s="353"/>
      <c r="C52" s="36">
        <f t="shared" ref="C52:D52" si="5">SUM(C44:C51)</f>
        <v>0.36799999999999999</v>
      </c>
      <c r="D52" s="37">
        <f t="shared" si="5"/>
        <v>568.76</v>
      </c>
    </row>
    <row r="53" spans="1:5" x14ac:dyDescent="0.2">
      <c r="A53" s="79" t="s">
        <v>143</v>
      </c>
      <c r="B53" s="85"/>
      <c r="C53" s="86"/>
      <c r="D53" s="87"/>
      <c r="E53" s="88"/>
    </row>
    <row r="54" spans="1:5" x14ac:dyDescent="0.2">
      <c r="A54" s="79" t="s">
        <v>144</v>
      </c>
      <c r="B54" s="85"/>
      <c r="C54" s="86"/>
      <c r="D54" s="87"/>
      <c r="E54" s="88"/>
    </row>
    <row r="55" spans="1:5" ht="13.5" thickBot="1" x14ac:dyDescent="0.25">
      <c r="A55" s="289" t="s">
        <v>166</v>
      </c>
      <c r="B55" s="85"/>
      <c r="C55" s="86"/>
      <c r="D55" s="87"/>
      <c r="E55" s="88"/>
    </row>
    <row r="56" spans="1:5" ht="13.5" thickBot="1" x14ac:dyDescent="0.25">
      <c r="A56" s="344" t="s">
        <v>75</v>
      </c>
      <c r="B56" s="345"/>
      <c r="C56" s="345"/>
      <c r="D56" s="346"/>
    </row>
    <row r="57" spans="1:5" ht="13.5" thickBot="1" x14ac:dyDescent="0.25">
      <c r="A57" s="27" t="s">
        <v>76</v>
      </c>
      <c r="B57" s="354" t="s">
        <v>17</v>
      </c>
      <c r="C57" s="343"/>
      <c r="D57" s="38" t="s">
        <v>44</v>
      </c>
    </row>
    <row r="58" spans="1:5" x14ac:dyDescent="0.2">
      <c r="A58" s="3" t="s">
        <v>31</v>
      </c>
      <c r="B58" s="355" t="s">
        <v>77</v>
      </c>
      <c r="C58" s="356"/>
      <c r="D58" s="11">
        <f>5.5*2*22-6%*D22</f>
        <v>164.72</v>
      </c>
    </row>
    <row r="59" spans="1:5" x14ac:dyDescent="0.2">
      <c r="A59" s="5" t="s">
        <v>33</v>
      </c>
      <c r="B59" s="362" t="s">
        <v>78</v>
      </c>
      <c r="C59" s="358"/>
      <c r="D59" s="39">
        <f>35*22</f>
        <v>770</v>
      </c>
    </row>
    <row r="60" spans="1:5" x14ac:dyDescent="0.2">
      <c r="A60" s="5" t="s">
        <v>3</v>
      </c>
      <c r="B60" s="40" t="s">
        <v>79</v>
      </c>
      <c r="C60" s="41"/>
      <c r="D60" s="39">
        <v>0</v>
      </c>
    </row>
    <row r="61" spans="1:5" x14ac:dyDescent="0.2">
      <c r="A61" s="5" t="s">
        <v>47</v>
      </c>
      <c r="B61" s="42" t="s">
        <v>80</v>
      </c>
      <c r="C61" s="41"/>
      <c r="D61" s="39">
        <v>0</v>
      </c>
    </row>
    <row r="62" spans="1:5" x14ac:dyDescent="0.2">
      <c r="A62" s="3" t="s">
        <v>5</v>
      </c>
      <c r="B62" s="355" t="s">
        <v>81</v>
      </c>
      <c r="C62" s="356"/>
      <c r="D62" s="11">
        <v>2.2999999999999998</v>
      </c>
    </row>
    <row r="63" spans="1:5" x14ac:dyDescent="0.2">
      <c r="A63" s="5" t="s">
        <v>72</v>
      </c>
      <c r="B63" s="362" t="s">
        <v>82</v>
      </c>
      <c r="C63" s="358"/>
      <c r="D63" s="39">
        <v>0</v>
      </c>
    </row>
    <row r="64" spans="1:5" x14ac:dyDescent="0.2">
      <c r="A64" s="5" t="s">
        <v>7</v>
      </c>
      <c r="B64" s="40" t="s">
        <v>83</v>
      </c>
      <c r="C64" s="41"/>
      <c r="D64" s="39">
        <v>0</v>
      </c>
    </row>
    <row r="65" spans="1:4" ht="13.5" thickBot="1" x14ac:dyDescent="0.25">
      <c r="A65" s="43" t="s">
        <v>72</v>
      </c>
      <c r="B65" s="44" t="s">
        <v>84</v>
      </c>
      <c r="C65" s="45"/>
      <c r="D65" s="46">
        <v>0</v>
      </c>
    </row>
    <row r="66" spans="1:4" ht="13.5" thickBot="1" x14ac:dyDescent="0.25">
      <c r="A66" s="392" t="s">
        <v>85</v>
      </c>
      <c r="B66" s="393" t="s">
        <v>85</v>
      </c>
      <c r="C66" s="393"/>
      <c r="D66" s="47">
        <f>SUM(D58:D64)</f>
        <v>937.02</v>
      </c>
    </row>
    <row r="67" spans="1:4" x14ac:dyDescent="0.2">
      <c r="A67" s="79" t="s">
        <v>145</v>
      </c>
      <c r="B67" s="26"/>
      <c r="C67" s="26"/>
      <c r="D67" s="78"/>
    </row>
    <row r="68" spans="1:4" ht="23.25" customHeight="1" thickBot="1" x14ac:dyDescent="0.25">
      <c r="A68" s="351" t="s">
        <v>146</v>
      </c>
      <c r="B68" s="351"/>
      <c r="C68" s="351"/>
      <c r="D68" s="351"/>
    </row>
    <row r="69" spans="1:4" ht="13.5" thickBot="1" x14ac:dyDescent="0.25">
      <c r="A69" s="344" t="s">
        <v>86</v>
      </c>
      <c r="B69" s="345"/>
      <c r="C69" s="345"/>
      <c r="D69" s="346"/>
    </row>
    <row r="70" spans="1:4" ht="36.75" customHeight="1" thickBot="1" x14ac:dyDescent="0.25">
      <c r="A70" s="52">
        <v>2</v>
      </c>
      <c r="B70" s="341" t="s">
        <v>87</v>
      </c>
      <c r="C70" s="343"/>
      <c r="D70" s="53" t="s">
        <v>88</v>
      </c>
    </row>
    <row r="71" spans="1:4" ht="13.5" thickBot="1" x14ac:dyDescent="0.25">
      <c r="A71" s="54" t="s">
        <v>58</v>
      </c>
      <c r="B71" s="347" t="s">
        <v>59</v>
      </c>
      <c r="C71" s="348"/>
      <c r="D71" s="55">
        <f>D38</f>
        <v>431.98</v>
      </c>
    </row>
    <row r="72" spans="1:4" ht="13.5" thickBot="1" x14ac:dyDescent="0.25">
      <c r="A72" s="54" t="s">
        <v>65</v>
      </c>
      <c r="B72" s="347" t="s">
        <v>66</v>
      </c>
      <c r="C72" s="348"/>
      <c r="D72" s="55">
        <f>D52</f>
        <v>568.76</v>
      </c>
    </row>
    <row r="73" spans="1:4" ht="13.5" thickBot="1" x14ac:dyDescent="0.25">
      <c r="A73" s="54" t="s">
        <v>76</v>
      </c>
      <c r="B73" s="339" t="s">
        <v>17</v>
      </c>
      <c r="C73" s="340"/>
      <c r="D73" s="55">
        <f>D66</f>
        <v>937.02</v>
      </c>
    </row>
    <row r="74" spans="1:4" ht="13.5" thickBot="1" x14ac:dyDescent="0.25">
      <c r="A74" s="341" t="s">
        <v>89</v>
      </c>
      <c r="B74" s="342"/>
      <c r="C74" s="343"/>
      <c r="D74" s="56">
        <f>SUM(D71:D73)</f>
        <v>1937.76</v>
      </c>
    </row>
    <row r="75" spans="1:4" ht="13.5" thickBot="1" x14ac:dyDescent="0.25">
      <c r="A75" s="344" t="s">
        <v>90</v>
      </c>
      <c r="B75" s="345"/>
      <c r="C75" s="345"/>
      <c r="D75" s="346"/>
    </row>
    <row r="76" spans="1:4" ht="13.5" thickBot="1" x14ac:dyDescent="0.25">
      <c r="A76" s="52">
        <v>3</v>
      </c>
      <c r="B76" s="285" t="s">
        <v>22</v>
      </c>
      <c r="C76" s="57" t="s">
        <v>0</v>
      </c>
      <c r="D76" s="53" t="s">
        <v>88</v>
      </c>
    </row>
    <row r="77" spans="1:4" ht="13.5" thickBot="1" x14ac:dyDescent="0.25">
      <c r="A77" s="54" t="s">
        <v>1</v>
      </c>
      <c r="B77" s="58" t="s">
        <v>13</v>
      </c>
      <c r="C77" s="59">
        <v>4.5999999999999999E-3</v>
      </c>
      <c r="D77" s="55">
        <f t="shared" ref="D77:D82" si="6">C77*$D$29</f>
        <v>7.11</v>
      </c>
    </row>
    <row r="78" spans="1:4" ht="13.5" thickBot="1" x14ac:dyDescent="0.25">
      <c r="A78" s="54" t="s">
        <v>2</v>
      </c>
      <c r="B78" s="58" t="s">
        <v>91</v>
      </c>
      <c r="C78" s="59">
        <f>8%*C77</f>
        <v>4.0000000000000002E-4</v>
      </c>
      <c r="D78" s="55">
        <f t="shared" si="6"/>
        <v>0.62</v>
      </c>
    </row>
    <row r="79" spans="1:4" ht="26.25" customHeight="1" thickBot="1" x14ac:dyDescent="0.25">
      <c r="A79" s="54" t="s">
        <v>3</v>
      </c>
      <c r="B79" s="58" t="s">
        <v>92</v>
      </c>
      <c r="C79" s="290">
        <v>3.4700000000000002E-2</v>
      </c>
      <c r="D79" s="55">
        <f t="shared" si="6"/>
        <v>53.63</v>
      </c>
    </row>
    <row r="80" spans="1:4" ht="15.75" customHeight="1" thickBot="1" x14ac:dyDescent="0.25">
      <c r="A80" s="54" t="s">
        <v>4</v>
      </c>
      <c r="B80" s="58" t="s">
        <v>23</v>
      </c>
      <c r="C80" s="59">
        <v>1.9400000000000001E-2</v>
      </c>
      <c r="D80" s="55">
        <f t="shared" si="6"/>
        <v>29.98</v>
      </c>
    </row>
    <row r="81" spans="1:4" ht="27" customHeight="1" thickBot="1" x14ac:dyDescent="0.25">
      <c r="A81" s="54" t="s">
        <v>5</v>
      </c>
      <c r="B81" s="58" t="s">
        <v>154</v>
      </c>
      <c r="C81" s="59">
        <f>1*36.8%*C80</f>
        <v>7.1000000000000004E-3</v>
      </c>
      <c r="D81" s="55">
        <f t="shared" si="6"/>
        <v>10.97</v>
      </c>
    </row>
    <row r="82" spans="1:4" ht="26.25" customHeight="1" thickBot="1" x14ac:dyDescent="0.25">
      <c r="A82" s="54" t="s">
        <v>6</v>
      </c>
      <c r="B82" s="58" t="s">
        <v>93</v>
      </c>
      <c r="C82" s="290">
        <v>2.0000000000000001E-4</v>
      </c>
      <c r="D82" s="55">
        <f t="shared" si="6"/>
        <v>0.31</v>
      </c>
    </row>
    <row r="83" spans="1:4" ht="13.5" thickBot="1" x14ac:dyDescent="0.25">
      <c r="A83" s="341" t="s">
        <v>89</v>
      </c>
      <c r="B83" s="343"/>
      <c r="C83" s="60">
        <f t="shared" ref="C83:D83" si="7">SUM(C77:C82)</f>
        <v>6.6400000000000001E-2</v>
      </c>
      <c r="D83" s="61">
        <f t="shared" si="7"/>
        <v>102.62</v>
      </c>
    </row>
    <row r="84" spans="1:4" ht="33.75" customHeight="1" thickBot="1" x14ac:dyDescent="0.25">
      <c r="A84" s="391" t="s">
        <v>147</v>
      </c>
      <c r="B84" s="391"/>
      <c r="C84" s="391"/>
      <c r="D84" s="391"/>
    </row>
    <row r="85" spans="1:4" ht="13.5" thickBot="1" x14ac:dyDescent="0.25">
      <c r="A85" s="344" t="s">
        <v>94</v>
      </c>
      <c r="B85" s="345"/>
      <c r="C85" s="345"/>
      <c r="D85" s="346"/>
    </row>
    <row r="86" spans="1:4" ht="15.75" customHeight="1" thickBot="1" x14ac:dyDescent="0.25">
      <c r="A86" s="341" t="s">
        <v>95</v>
      </c>
      <c r="B86" s="342"/>
      <c r="C86" s="342"/>
      <c r="D86" s="343"/>
    </row>
    <row r="87" spans="1:4" ht="15" customHeight="1" thickBot="1" x14ac:dyDescent="0.25">
      <c r="A87" s="52" t="s">
        <v>20</v>
      </c>
      <c r="B87" s="284" t="s">
        <v>96</v>
      </c>
      <c r="C87" s="52" t="s">
        <v>0</v>
      </c>
      <c r="D87" s="53" t="s">
        <v>88</v>
      </c>
    </row>
    <row r="88" spans="1:4" ht="13.5" thickBot="1" x14ac:dyDescent="0.25">
      <c r="A88" s="54" t="s">
        <v>1</v>
      </c>
      <c r="B88" s="58" t="s">
        <v>155</v>
      </c>
      <c r="C88" s="291">
        <v>9.0749999999999997E-2</v>
      </c>
      <c r="D88" s="63">
        <f>C88*$D$29</f>
        <v>140.26</v>
      </c>
    </row>
    <row r="89" spans="1:4" ht="13.5" thickBot="1" x14ac:dyDescent="0.25">
      <c r="A89" s="54" t="s">
        <v>2</v>
      </c>
      <c r="B89" s="58" t="s">
        <v>383</v>
      </c>
      <c r="C89" s="62">
        <v>4.1999999999999997E-3</v>
      </c>
      <c r="D89" s="63">
        <f>C89*$D$29</f>
        <v>6.49</v>
      </c>
    </row>
    <row r="90" spans="1:4" ht="15" customHeight="1" thickBot="1" x14ac:dyDescent="0.25">
      <c r="A90" s="54" t="s">
        <v>3</v>
      </c>
      <c r="B90" s="58" t="s">
        <v>98</v>
      </c>
      <c r="C90" s="62">
        <v>2.0000000000000001E-4</v>
      </c>
      <c r="D90" s="63">
        <f>C90*$D$29</f>
        <v>0.31</v>
      </c>
    </row>
    <row r="91" spans="1:4" ht="22.5" customHeight="1" thickBot="1" x14ac:dyDescent="0.25">
      <c r="A91" s="54" t="s">
        <v>4</v>
      </c>
      <c r="B91" s="58" t="s">
        <v>99</v>
      </c>
      <c r="C91" s="62">
        <v>4.1999999999999997E-3</v>
      </c>
      <c r="D91" s="63">
        <f>C91*$D$29</f>
        <v>6.49</v>
      </c>
    </row>
    <row r="92" spans="1:4" ht="13.5" thickBot="1" x14ac:dyDescent="0.25">
      <c r="A92" s="54" t="s">
        <v>5</v>
      </c>
      <c r="B92" s="58" t="s">
        <v>156</v>
      </c>
      <c r="C92" s="62">
        <v>2.0000000000000001E-4</v>
      </c>
      <c r="D92" s="63">
        <f>C92*$D$29</f>
        <v>0.31</v>
      </c>
    </row>
    <row r="93" spans="1:4" ht="39" thickBot="1" x14ac:dyDescent="0.25">
      <c r="A93" s="54" t="s">
        <v>6</v>
      </c>
      <c r="B93" s="58" t="s">
        <v>384</v>
      </c>
      <c r="C93" s="273">
        <f>SUM(C88:C92)*C52</f>
        <v>3.6600000000000001E-2</v>
      </c>
      <c r="D93" s="63">
        <f t="shared" ref="D93" si="8">C93*$D$29</f>
        <v>56.57</v>
      </c>
    </row>
    <row r="94" spans="1:4" ht="13.5" thickBot="1" x14ac:dyDescent="0.25">
      <c r="A94" s="341" t="s">
        <v>63</v>
      </c>
      <c r="B94" s="342"/>
      <c r="C94" s="64">
        <f t="shared" ref="C94:D94" si="9">SUM(C88:C93)</f>
        <v>0.13619999999999999</v>
      </c>
      <c r="D94" s="61">
        <f t="shared" si="9"/>
        <v>210.43</v>
      </c>
    </row>
    <row r="95" spans="1:4" ht="36.75" customHeight="1" thickBot="1" x14ac:dyDescent="0.25">
      <c r="A95" s="357" t="s">
        <v>153</v>
      </c>
      <c r="B95" s="357"/>
      <c r="C95" s="357"/>
      <c r="D95" s="357"/>
    </row>
    <row r="96" spans="1:4" ht="15.75" customHeight="1" thickBot="1" x14ac:dyDescent="0.25">
      <c r="A96" s="344" t="s">
        <v>101</v>
      </c>
      <c r="B96" s="345"/>
      <c r="C96" s="345"/>
      <c r="D96" s="346"/>
    </row>
    <row r="97" spans="1:4" ht="15.75" customHeight="1" thickBot="1" x14ac:dyDescent="0.25">
      <c r="A97" s="52" t="s">
        <v>21</v>
      </c>
      <c r="B97" s="341" t="s">
        <v>102</v>
      </c>
      <c r="C97" s="343"/>
      <c r="D97" s="53" t="s">
        <v>88</v>
      </c>
    </row>
    <row r="98" spans="1:4" ht="15" customHeight="1" thickBot="1" x14ac:dyDescent="0.25">
      <c r="A98" s="54" t="s">
        <v>1</v>
      </c>
      <c r="B98" s="339" t="s">
        <v>157</v>
      </c>
      <c r="C98" s="340"/>
      <c r="D98" s="55">
        <v>0</v>
      </c>
    </row>
    <row r="99" spans="1:4" ht="15.75" customHeight="1" thickBot="1" x14ac:dyDescent="0.25">
      <c r="A99" s="341" t="s">
        <v>89</v>
      </c>
      <c r="B99" s="342"/>
      <c r="C99" s="343"/>
      <c r="D99" s="55">
        <f>SUM(D98)</f>
        <v>0</v>
      </c>
    </row>
    <row r="100" spans="1:4" ht="13.5" thickBot="1" x14ac:dyDescent="0.25">
      <c r="A100" s="48"/>
      <c r="B100" s="49"/>
      <c r="C100" s="50"/>
      <c r="D100" s="51"/>
    </row>
    <row r="101" spans="1:4" ht="13.5" thickBot="1" x14ac:dyDescent="0.25">
      <c r="A101" s="344" t="s">
        <v>103</v>
      </c>
      <c r="B101" s="345"/>
      <c r="C101" s="345"/>
      <c r="D101" s="346"/>
    </row>
    <row r="102" spans="1:4" ht="13.5" thickBot="1" x14ac:dyDescent="0.25">
      <c r="A102" s="52">
        <v>4</v>
      </c>
      <c r="B102" s="341" t="s">
        <v>104</v>
      </c>
      <c r="C102" s="343"/>
      <c r="D102" s="53" t="s">
        <v>88</v>
      </c>
    </row>
    <row r="103" spans="1:4" ht="15" customHeight="1" thickBot="1" x14ac:dyDescent="0.25">
      <c r="A103" s="54" t="s">
        <v>20</v>
      </c>
      <c r="B103" s="339" t="s">
        <v>96</v>
      </c>
      <c r="C103" s="340"/>
      <c r="D103" s="55">
        <f>D94</f>
        <v>210.43</v>
      </c>
    </row>
    <row r="104" spans="1:4" ht="15.75" customHeight="1" thickBot="1" x14ac:dyDescent="0.25">
      <c r="A104" s="54" t="s">
        <v>21</v>
      </c>
      <c r="B104" s="339" t="s">
        <v>102</v>
      </c>
      <c r="C104" s="340"/>
      <c r="D104" s="55">
        <f>D99</f>
        <v>0</v>
      </c>
    </row>
    <row r="105" spans="1:4" ht="15.75" customHeight="1" thickBot="1" x14ac:dyDescent="0.25">
      <c r="A105" s="341" t="s">
        <v>89</v>
      </c>
      <c r="B105" s="342"/>
      <c r="C105" s="343"/>
      <c r="D105" s="61">
        <f>SUM(D103:D104)</f>
        <v>210.43</v>
      </c>
    </row>
    <row r="106" spans="1:4" ht="15.75" customHeight="1" thickBot="1" x14ac:dyDescent="0.25">
      <c r="A106" s="48"/>
      <c r="B106" s="49"/>
      <c r="C106" s="50"/>
      <c r="D106" s="51"/>
    </row>
    <row r="107" spans="1:4" ht="15.75" customHeight="1" thickBot="1" x14ac:dyDescent="0.25">
      <c r="A107" s="344" t="s">
        <v>105</v>
      </c>
      <c r="B107" s="345"/>
      <c r="C107" s="345"/>
      <c r="D107" s="346"/>
    </row>
    <row r="108" spans="1:4" ht="15.75" customHeight="1" thickBot="1" x14ac:dyDescent="0.25">
      <c r="A108" s="52">
        <v>5</v>
      </c>
      <c r="B108" s="341" t="s">
        <v>18</v>
      </c>
      <c r="C108" s="343"/>
      <c r="D108" s="53" t="s">
        <v>88</v>
      </c>
    </row>
    <row r="109" spans="1:4" ht="13.5" thickBot="1" x14ac:dyDescent="0.25">
      <c r="A109" s="54" t="s">
        <v>1</v>
      </c>
      <c r="B109" s="339" t="s">
        <v>19</v>
      </c>
      <c r="C109" s="340"/>
      <c r="D109" s="55">
        <f>Uniformes!G16</f>
        <v>98.46</v>
      </c>
    </row>
    <row r="110" spans="1:4" ht="13.5" thickBot="1" x14ac:dyDescent="0.25">
      <c r="A110" s="54" t="s">
        <v>2</v>
      </c>
      <c r="B110" s="339" t="s">
        <v>27</v>
      </c>
      <c r="C110" s="340"/>
      <c r="D110" s="55">
        <f>Materiais!H92</f>
        <v>430.61</v>
      </c>
    </row>
    <row r="111" spans="1:4" ht="13.5" thickBot="1" x14ac:dyDescent="0.25">
      <c r="A111" s="54" t="s">
        <v>3</v>
      </c>
      <c r="B111" s="339" t="s">
        <v>345</v>
      </c>
      <c r="C111" s="340"/>
      <c r="D111" s="55">
        <f>Equipamento!G16</f>
        <v>5.6</v>
      </c>
    </row>
    <row r="112" spans="1:4" ht="15" customHeight="1" thickBot="1" x14ac:dyDescent="0.25">
      <c r="A112" s="54" t="s">
        <v>4</v>
      </c>
      <c r="B112" s="339" t="s">
        <v>347</v>
      </c>
      <c r="C112" s="340"/>
      <c r="D112" s="55">
        <f>Equipamento!G24</f>
        <v>4.46</v>
      </c>
    </row>
    <row r="113" spans="1:5" ht="15.75" customHeight="1" thickBot="1" x14ac:dyDescent="0.25">
      <c r="A113" s="341" t="s">
        <v>63</v>
      </c>
      <c r="B113" s="342"/>
      <c r="C113" s="343"/>
      <c r="D113" s="56">
        <f>SUM(D109:D112)</f>
        <v>539.13</v>
      </c>
    </row>
    <row r="114" spans="1:5" ht="13.5" thickBot="1" x14ac:dyDescent="0.25">
      <c r="A114" s="48"/>
      <c r="B114" s="49"/>
      <c r="C114" s="50"/>
      <c r="D114" s="51"/>
    </row>
    <row r="115" spans="1:5" ht="15.75" customHeight="1" thickBot="1" x14ac:dyDescent="0.25">
      <c r="A115" s="344" t="s">
        <v>106</v>
      </c>
      <c r="B115" s="345"/>
      <c r="C115" s="345"/>
      <c r="D115" s="346"/>
    </row>
    <row r="116" spans="1:5" ht="18" customHeight="1" thickBot="1" x14ac:dyDescent="0.25">
      <c r="A116" s="52">
        <v>6</v>
      </c>
      <c r="B116" s="65" t="s">
        <v>24</v>
      </c>
      <c r="C116" s="285" t="s">
        <v>0</v>
      </c>
      <c r="D116" s="53" t="s">
        <v>88</v>
      </c>
    </row>
    <row r="117" spans="1:5" ht="15.75" customHeight="1" thickBot="1" x14ac:dyDescent="0.25">
      <c r="A117" s="54" t="s">
        <v>1</v>
      </c>
      <c r="B117" s="66" t="s">
        <v>25</v>
      </c>
      <c r="C117" s="62">
        <v>0.05</v>
      </c>
      <c r="D117" s="55">
        <f>C117*D135</f>
        <v>216.77</v>
      </c>
    </row>
    <row r="118" spans="1:5" ht="13.5" thickBot="1" x14ac:dyDescent="0.25">
      <c r="A118" s="54" t="s">
        <v>2</v>
      </c>
      <c r="B118" s="66" t="s">
        <v>108</v>
      </c>
      <c r="C118" s="62">
        <v>3.0499999999999999E-2</v>
      </c>
      <c r="D118" s="55">
        <f>(D117+D135)*C118</f>
        <v>138.84</v>
      </c>
    </row>
    <row r="119" spans="1:5" ht="13.5" thickBot="1" x14ac:dyDescent="0.25">
      <c r="A119" s="54" t="s">
        <v>3</v>
      </c>
      <c r="B119" s="66" t="s">
        <v>109</v>
      </c>
      <c r="C119" s="62">
        <f>C120+C121+C122</f>
        <v>0.14249999999999999</v>
      </c>
      <c r="D119" s="55">
        <f>((D117+D118+D135)/(1-C119))*C119</f>
        <v>779.57</v>
      </c>
      <c r="E119" s="97"/>
    </row>
    <row r="120" spans="1:5" ht="13.5" thickBot="1" x14ac:dyDescent="0.25">
      <c r="A120" s="54"/>
      <c r="B120" s="66" t="s">
        <v>110</v>
      </c>
      <c r="C120" s="62">
        <v>9.2499999999999999E-2</v>
      </c>
      <c r="D120" s="55">
        <f>D137*C120</f>
        <v>506.04</v>
      </c>
    </row>
    <row r="121" spans="1:5" ht="13.5" thickBot="1" x14ac:dyDescent="0.25">
      <c r="A121" s="54"/>
      <c r="B121" s="66" t="s">
        <v>111</v>
      </c>
      <c r="C121" s="67">
        <v>0.05</v>
      </c>
      <c r="D121" s="55">
        <f>C121*D137</f>
        <v>273.52999999999997</v>
      </c>
    </row>
    <row r="122" spans="1:5" ht="13.5" thickBot="1" x14ac:dyDescent="0.25">
      <c r="A122" s="54"/>
      <c r="B122" s="66" t="s">
        <v>112</v>
      </c>
      <c r="C122" s="67">
        <v>0</v>
      </c>
      <c r="D122" s="55">
        <f>C122*D137</f>
        <v>0</v>
      </c>
    </row>
    <row r="123" spans="1:5" ht="13.5" thickBot="1" x14ac:dyDescent="0.25">
      <c r="A123" s="341" t="s">
        <v>63</v>
      </c>
      <c r="B123" s="343"/>
      <c r="C123" s="64">
        <f>C119+C117+C118</f>
        <v>0.223</v>
      </c>
      <c r="D123" s="53">
        <f>SUM(D117,D118,D119)</f>
        <v>1135.18</v>
      </c>
    </row>
    <row r="124" spans="1:5" x14ac:dyDescent="0.2">
      <c r="A124" s="79" t="s">
        <v>148</v>
      </c>
      <c r="B124" s="49"/>
      <c r="C124" s="50"/>
      <c r="D124" s="51"/>
    </row>
    <row r="125" spans="1:5" ht="21.75" customHeight="1" x14ac:dyDescent="0.2">
      <c r="A125" s="351" t="s">
        <v>149</v>
      </c>
      <c r="B125" s="351"/>
      <c r="C125" s="351"/>
      <c r="D125" s="351"/>
    </row>
    <row r="126" spans="1:5" x14ac:dyDescent="0.2">
      <c r="A126" s="79" t="s">
        <v>150</v>
      </c>
      <c r="B126" s="49"/>
      <c r="C126" s="50"/>
      <c r="D126" s="51"/>
    </row>
    <row r="127" spans="1:5" ht="13.5" thickBot="1" x14ac:dyDescent="0.25">
      <c r="A127" s="48"/>
      <c r="B127" s="49"/>
      <c r="C127" s="50"/>
      <c r="D127" s="51"/>
    </row>
    <row r="128" spans="1:5" ht="15" customHeight="1" thickBot="1" x14ac:dyDescent="0.25">
      <c r="A128" s="344" t="s">
        <v>113</v>
      </c>
      <c r="B128" s="345"/>
      <c r="C128" s="345"/>
      <c r="D128" s="346"/>
    </row>
    <row r="129" spans="1:4" ht="21.75" customHeight="1" thickBot="1" x14ac:dyDescent="0.25">
      <c r="A129" s="52"/>
      <c r="B129" s="349" t="s">
        <v>114</v>
      </c>
      <c r="C129" s="350"/>
      <c r="D129" s="53" t="s">
        <v>88</v>
      </c>
    </row>
    <row r="130" spans="1:4" ht="15.75" customHeight="1" thickBot="1" x14ac:dyDescent="0.25">
      <c r="A130" s="68" t="s">
        <v>1</v>
      </c>
      <c r="B130" s="347" t="s">
        <v>26</v>
      </c>
      <c r="C130" s="348"/>
      <c r="D130" s="55">
        <f>D29</f>
        <v>1545.55</v>
      </c>
    </row>
    <row r="131" spans="1:4" ht="15.75" customHeight="1" thickBot="1" x14ac:dyDescent="0.25">
      <c r="A131" s="68" t="s">
        <v>2</v>
      </c>
      <c r="B131" s="339" t="s">
        <v>56</v>
      </c>
      <c r="C131" s="340"/>
      <c r="D131" s="55">
        <f>D74</f>
        <v>1937.76</v>
      </c>
    </row>
    <row r="132" spans="1:4" ht="13.5" thickBot="1" x14ac:dyDescent="0.25">
      <c r="A132" s="68" t="s">
        <v>3</v>
      </c>
      <c r="B132" s="339" t="s">
        <v>90</v>
      </c>
      <c r="C132" s="340"/>
      <c r="D132" s="55">
        <f>D83</f>
        <v>102.62</v>
      </c>
    </row>
    <row r="133" spans="1:4" ht="15.75" customHeight="1" thickBot="1" x14ac:dyDescent="0.25">
      <c r="A133" s="68" t="s">
        <v>4</v>
      </c>
      <c r="B133" s="339" t="s">
        <v>94</v>
      </c>
      <c r="C133" s="340"/>
      <c r="D133" s="55">
        <f>D105</f>
        <v>210.43</v>
      </c>
    </row>
    <row r="134" spans="1:4" ht="15" customHeight="1" thickBot="1" x14ac:dyDescent="0.25">
      <c r="A134" s="68" t="s">
        <v>5</v>
      </c>
      <c r="B134" s="339" t="s">
        <v>105</v>
      </c>
      <c r="C134" s="340"/>
      <c r="D134" s="55">
        <f>D113</f>
        <v>539.13</v>
      </c>
    </row>
    <row r="135" spans="1:4" ht="13.5" thickBot="1" x14ac:dyDescent="0.25">
      <c r="A135" s="341" t="s">
        <v>115</v>
      </c>
      <c r="B135" s="342"/>
      <c r="C135" s="343"/>
      <c r="D135" s="55">
        <f>SUM(D130:D134)</f>
        <v>4335.49</v>
      </c>
    </row>
    <row r="136" spans="1:4" ht="14.25" customHeight="1" thickBot="1" x14ac:dyDescent="0.25">
      <c r="A136" s="68" t="s">
        <v>6</v>
      </c>
      <c r="B136" s="347" t="s">
        <v>116</v>
      </c>
      <c r="C136" s="348"/>
      <c r="D136" s="69">
        <f>D123</f>
        <v>1135.18</v>
      </c>
    </row>
    <row r="137" spans="1:4" ht="15" customHeight="1" thickBot="1" x14ac:dyDescent="0.25">
      <c r="A137" s="341" t="s">
        <v>117</v>
      </c>
      <c r="B137" s="342"/>
      <c r="C137" s="343"/>
      <c r="D137" s="70">
        <f>ROUND((D135+D136),2)</f>
        <v>5470.67</v>
      </c>
    </row>
    <row r="138" spans="1:4" ht="21" customHeight="1" x14ac:dyDescent="0.2">
      <c r="A138" s="369"/>
      <c r="B138" s="369"/>
      <c r="C138" s="369"/>
      <c r="D138" s="369"/>
    </row>
    <row r="139" spans="1:4" ht="15" customHeight="1" x14ac:dyDescent="0.2"/>
    <row r="140" spans="1:4" ht="15" customHeight="1" x14ac:dyDescent="0.2"/>
    <row r="142" spans="1:4" ht="15" customHeight="1" x14ac:dyDescent="0.2"/>
    <row r="143" spans="1:4" ht="14.25" customHeight="1" x14ac:dyDescent="0.2"/>
  </sheetData>
  <mergeCells count="86">
    <mergeCell ref="A6:D6"/>
    <mergeCell ref="A1:D1"/>
    <mergeCell ref="A2:D2"/>
    <mergeCell ref="A3:D3"/>
    <mergeCell ref="A4:D4"/>
    <mergeCell ref="A5:D5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86:D8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85:D85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B130:C130"/>
    <mergeCell ref="B108:C108"/>
    <mergeCell ref="B109:C109"/>
    <mergeCell ref="B110:C110"/>
    <mergeCell ref="B111:C111"/>
    <mergeCell ref="B112:C112"/>
    <mergeCell ref="A113:C113"/>
    <mergeCell ref="A115:D115"/>
    <mergeCell ref="A123:B123"/>
    <mergeCell ref="A125:D125"/>
    <mergeCell ref="A128:D128"/>
    <mergeCell ref="B129:C129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43"/>
  <sheetViews>
    <sheetView showGridLines="0" topLeftCell="A84" workbookViewId="0">
      <selection activeCell="H89" sqref="H89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16384" width="9.140625" style="13"/>
  </cols>
  <sheetData>
    <row r="1" spans="1:6" ht="12.75" customHeight="1" x14ac:dyDescent="0.2">
      <c r="A1" s="367" t="s">
        <v>28</v>
      </c>
      <c r="B1" s="368"/>
      <c r="C1" s="368"/>
      <c r="D1" s="368"/>
    </row>
    <row r="2" spans="1:6" ht="12.75" customHeight="1" x14ac:dyDescent="0.2">
      <c r="A2" s="367" t="s">
        <v>29</v>
      </c>
      <c r="B2" s="368"/>
      <c r="C2" s="368"/>
      <c r="D2" s="368"/>
    </row>
    <row r="3" spans="1:6" ht="12.75" customHeight="1" x14ac:dyDescent="0.2">
      <c r="A3" s="367" t="s">
        <v>171</v>
      </c>
      <c r="B3" s="368"/>
      <c r="C3" s="368"/>
      <c r="D3" s="368"/>
    </row>
    <row r="4" spans="1:6" ht="15" customHeight="1" x14ac:dyDescent="0.2">
      <c r="A4" s="367" t="s">
        <v>172</v>
      </c>
      <c r="B4" s="368"/>
      <c r="C4" s="368"/>
      <c r="D4" s="368"/>
    </row>
    <row r="5" spans="1:6" ht="3.75" customHeight="1" x14ac:dyDescent="0.2">
      <c r="A5" s="367"/>
      <c r="B5" s="368"/>
      <c r="C5" s="368"/>
      <c r="D5" s="368"/>
    </row>
    <row r="6" spans="1:6" ht="13.5" thickBot="1" x14ac:dyDescent="0.25">
      <c r="A6" s="370" t="s">
        <v>30</v>
      </c>
      <c r="B6" s="371"/>
      <c r="C6" s="371"/>
      <c r="D6" s="371"/>
    </row>
    <row r="7" spans="1:6" x14ac:dyDescent="0.2">
      <c r="A7" s="372" t="s">
        <v>130</v>
      </c>
      <c r="B7" s="373"/>
      <c r="C7" s="373"/>
      <c r="D7" s="374"/>
    </row>
    <row r="8" spans="1:6" ht="13.5" customHeight="1" thickBot="1" x14ac:dyDescent="0.25">
      <c r="A8" s="370" t="s">
        <v>131</v>
      </c>
      <c r="B8" s="371"/>
      <c r="C8" s="371"/>
      <c r="D8" s="382"/>
    </row>
    <row r="9" spans="1:6" ht="13.5" thickBot="1" x14ac:dyDescent="0.25">
      <c r="A9" s="383" t="s">
        <v>14</v>
      </c>
      <c r="B9" s="384"/>
      <c r="C9" s="384"/>
      <c r="D9" s="384"/>
    </row>
    <row r="10" spans="1:6" x14ac:dyDescent="0.2">
      <c r="A10" s="3" t="s">
        <v>31</v>
      </c>
      <c r="B10" s="385" t="s">
        <v>32</v>
      </c>
      <c r="C10" s="385"/>
      <c r="D10" s="4" t="s">
        <v>170</v>
      </c>
    </row>
    <row r="11" spans="1:6" x14ac:dyDescent="0.2">
      <c r="A11" s="5" t="s">
        <v>33</v>
      </c>
      <c r="B11" s="386" t="s">
        <v>34</v>
      </c>
      <c r="C11" s="386"/>
      <c r="D11" s="6" t="s">
        <v>35</v>
      </c>
    </row>
    <row r="12" spans="1:6" ht="25.5" x14ac:dyDescent="0.2">
      <c r="A12" s="5" t="s">
        <v>36</v>
      </c>
      <c r="B12" s="387" t="s">
        <v>37</v>
      </c>
      <c r="C12" s="388"/>
      <c r="D12" s="115" t="s">
        <v>399</v>
      </c>
    </row>
    <row r="13" spans="1:6" ht="13.5" thickBot="1" x14ac:dyDescent="0.25">
      <c r="A13" s="7" t="s">
        <v>4</v>
      </c>
      <c r="B13" s="375" t="s">
        <v>38</v>
      </c>
      <c r="C13" s="375"/>
      <c r="D13" s="8">
        <v>12</v>
      </c>
    </row>
    <row r="14" spans="1:6" ht="13.5" thickBot="1" x14ac:dyDescent="0.25">
      <c r="A14" s="378" t="s">
        <v>39</v>
      </c>
      <c r="B14" s="379"/>
      <c r="C14" s="379"/>
      <c r="D14" s="379"/>
    </row>
    <row r="15" spans="1:6" ht="25.5" x14ac:dyDescent="0.2">
      <c r="A15" s="80">
        <v>1</v>
      </c>
      <c r="B15" s="81" t="s">
        <v>40</v>
      </c>
      <c r="C15" s="380" t="s">
        <v>169</v>
      </c>
      <c r="D15" s="381"/>
    </row>
    <row r="16" spans="1:6" x14ac:dyDescent="0.2">
      <c r="A16" s="10">
        <v>2</v>
      </c>
      <c r="B16" s="361" t="s">
        <v>15</v>
      </c>
      <c r="C16" s="355"/>
      <c r="D16" s="11">
        <v>1527.03</v>
      </c>
      <c r="F16" s="118"/>
    </row>
    <row r="17" spans="1:4" x14ac:dyDescent="0.2">
      <c r="A17" s="10">
        <v>3</v>
      </c>
      <c r="B17" s="361" t="s">
        <v>41</v>
      </c>
      <c r="C17" s="362"/>
      <c r="D17" s="12" t="s">
        <v>394</v>
      </c>
    </row>
    <row r="18" spans="1:4" x14ac:dyDescent="0.2">
      <c r="A18" s="1">
        <v>4</v>
      </c>
      <c r="B18" s="116" t="s">
        <v>132</v>
      </c>
      <c r="C18" s="288"/>
      <c r="D18" s="119" t="s">
        <v>387</v>
      </c>
    </row>
    <row r="19" spans="1:4" ht="13.5" thickBot="1" x14ac:dyDescent="0.25">
      <c r="A19" s="2">
        <v>5</v>
      </c>
      <c r="B19" s="363" t="s">
        <v>42</v>
      </c>
      <c r="C19" s="364"/>
      <c r="D19" s="117">
        <v>44197</v>
      </c>
    </row>
    <row r="20" spans="1:4" ht="13.5" thickBot="1" x14ac:dyDescent="0.25">
      <c r="A20" s="365" t="s">
        <v>26</v>
      </c>
      <c r="B20" s="366"/>
      <c r="C20" s="366"/>
      <c r="D20" s="366"/>
    </row>
    <row r="21" spans="1:4" ht="13.5" thickBot="1" x14ac:dyDescent="0.25">
      <c r="A21" s="287">
        <v>1</v>
      </c>
      <c r="B21" s="376" t="s">
        <v>43</v>
      </c>
      <c r="C21" s="377"/>
      <c r="D21" s="14" t="s">
        <v>44</v>
      </c>
    </row>
    <row r="22" spans="1:4" x14ac:dyDescent="0.2">
      <c r="A22" s="15" t="s">
        <v>31</v>
      </c>
      <c r="B22" s="356" t="s">
        <v>45</v>
      </c>
      <c r="C22" s="356"/>
      <c r="D22" s="16">
        <f>D16</f>
        <v>1527.03</v>
      </c>
    </row>
    <row r="23" spans="1:4" x14ac:dyDescent="0.2">
      <c r="A23" s="17" t="s">
        <v>33</v>
      </c>
      <c r="B23" s="286" t="s">
        <v>16</v>
      </c>
      <c r="C23" s="18">
        <v>0.3</v>
      </c>
      <c r="D23" s="19">
        <f t="shared" ref="D23" si="0">C23*D22</f>
        <v>458.11</v>
      </c>
    </row>
    <row r="24" spans="1:4" x14ac:dyDescent="0.2">
      <c r="A24" s="17" t="s">
        <v>36</v>
      </c>
      <c r="B24" s="358" t="s">
        <v>46</v>
      </c>
      <c r="C24" s="358"/>
      <c r="D24" s="19"/>
    </row>
    <row r="25" spans="1:4" x14ac:dyDescent="0.2">
      <c r="A25" s="17" t="s">
        <v>47</v>
      </c>
      <c r="B25" s="286" t="s">
        <v>48</v>
      </c>
      <c r="C25" s="20">
        <v>0</v>
      </c>
      <c r="D25" s="19">
        <v>0</v>
      </c>
    </row>
    <row r="26" spans="1:4" x14ac:dyDescent="0.2">
      <c r="A26" s="17" t="s">
        <v>49</v>
      </c>
      <c r="B26" s="358" t="s">
        <v>50</v>
      </c>
      <c r="C26" s="358"/>
      <c r="D26" s="19">
        <f t="shared" ref="D26" si="1">D22/220*0.2*0*15</f>
        <v>0</v>
      </c>
    </row>
    <row r="27" spans="1:4" x14ac:dyDescent="0.2">
      <c r="A27" s="17" t="s">
        <v>51</v>
      </c>
      <c r="B27" s="358" t="s">
        <v>52</v>
      </c>
      <c r="C27" s="358"/>
      <c r="D27" s="19">
        <v>0</v>
      </c>
    </row>
    <row r="28" spans="1:4" x14ac:dyDescent="0.2">
      <c r="A28" s="21" t="s">
        <v>53</v>
      </c>
      <c r="B28" s="359" t="s">
        <v>54</v>
      </c>
      <c r="C28" s="359"/>
      <c r="D28" s="22">
        <v>0</v>
      </c>
    </row>
    <row r="29" spans="1:4" ht="13.5" thickBot="1" x14ac:dyDescent="0.25">
      <c r="A29" s="352" t="s">
        <v>55</v>
      </c>
      <c r="B29" s="360"/>
      <c r="C29" s="353"/>
      <c r="D29" s="23">
        <f t="shared" ref="D29" si="2">ROUND(SUM(D22:D28),2)</f>
        <v>1985.14</v>
      </c>
    </row>
    <row r="30" spans="1:4" ht="13.5" thickBot="1" x14ac:dyDescent="0.25">
      <c r="A30" s="289" t="s">
        <v>141</v>
      </c>
      <c r="B30" s="77"/>
      <c r="C30" s="24"/>
      <c r="D30" s="25"/>
    </row>
    <row r="31" spans="1:4" ht="13.5" thickBot="1" x14ac:dyDescent="0.25">
      <c r="A31" s="344" t="s">
        <v>56</v>
      </c>
      <c r="B31" s="345"/>
      <c r="C31" s="345"/>
      <c r="D31" s="346"/>
    </row>
    <row r="32" spans="1:4" ht="13.5" thickBot="1" x14ac:dyDescent="0.25">
      <c r="A32" s="344" t="s">
        <v>57</v>
      </c>
      <c r="B32" s="345"/>
      <c r="C32" s="345"/>
      <c r="D32" s="346"/>
    </row>
    <row r="33" spans="1:5" ht="13.5" thickBot="1" x14ac:dyDescent="0.25">
      <c r="A33" s="27" t="s">
        <v>58</v>
      </c>
      <c r="B33" s="28" t="s">
        <v>59</v>
      </c>
      <c r="C33" s="29" t="s">
        <v>60</v>
      </c>
      <c r="D33" s="30" t="s">
        <v>44</v>
      </c>
    </row>
    <row r="34" spans="1:5" x14ac:dyDescent="0.2">
      <c r="A34" s="9" t="s">
        <v>31</v>
      </c>
      <c r="B34" s="31" t="s">
        <v>61</v>
      </c>
      <c r="C34" s="32">
        <v>8.3299999999999999E-2</v>
      </c>
      <c r="D34" s="11">
        <f>ROUND(D$29*C34,2)</f>
        <v>165.36</v>
      </c>
    </row>
    <row r="35" spans="1:5" x14ac:dyDescent="0.2">
      <c r="A35" s="10" t="s">
        <v>33</v>
      </c>
      <c r="B35" s="33" t="s">
        <v>62</v>
      </c>
      <c r="C35" s="34">
        <v>0.121</v>
      </c>
      <c r="D35" s="11">
        <f t="shared" ref="D35" si="3">ROUND(D$29*C35,2)</f>
        <v>240.2</v>
      </c>
    </row>
    <row r="36" spans="1:5" ht="13.5" thickBot="1" x14ac:dyDescent="0.25">
      <c r="A36" s="335" t="s">
        <v>164</v>
      </c>
      <c r="B36" s="336"/>
      <c r="C36" s="82">
        <f>SUM(A34:C35)</f>
        <v>0.20430000000000001</v>
      </c>
      <c r="D36" s="11">
        <f>SUM(D34:D35)</f>
        <v>405.56</v>
      </c>
    </row>
    <row r="37" spans="1:5" ht="25.5" x14ac:dyDescent="0.2">
      <c r="A37" s="1" t="s">
        <v>3</v>
      </c>
      <c r="B37" s="83" t="s">
        <v>165</v>
      </c>
      <c r="C37" s="84">
        <f>C36*C52</f>
        <v>7.5200000000000003E-2</v>
      </c>
      <c r="D37" s="11">
        <f>ROUND(D$29*C37,2)</f>
        <v>149.28</v>
      </c>
      <c r="E37" s="96"/>
    </row>
    <row r="38" spans="1:5" x14ac:dyDescent="0.2">
      <c r="A38" s="337" t="s">
        <v>63</v>
      </c>
      <c r="B38" s="338"/>
      <c r="C38" s="338"/>
      <c r="D38" s="11">
        <f>SUM(D36:D37)</f>
        <v>554.84</v>
      </c>
    </row>
    <row r="39" spans="1:5" ht="31.5" customHeight="1" x14ac:dyDescent="0.2">
      <c r="A39" s="389" t="s">
        <v>151</v>
      </c>
      <c r="B39" s="389"/>
      <c r="C39" s="389"/>
      <c r="D39" s="389"/>
    </row>
    <row r="40" spans="1:5" ht="22.5" customHeight="1" x14ac:dyDescent="0.2">
      <c r="A40" s="389" t="s">
        <v>142</v>
      </c>
      <c r="B40" s="389"/>
      <c r="C40" s="389"/>
      <c r="D40" s="389"/>
    </row>
    <row r="41" spans="1:5" ht="33" customHeight="1" thickBot="1" x14ac:dyDescent="0.25">
      <c r="A41" s="390" t="s">
        <v>152</v>
      </c>
      <c r="B41" s="390"/>
      <c r="C41" s="390"/>
      <c r="D41" s="390"/>
    </row>
    <row r="42" spans="1:5" ht="24.75" customHeight="1" thickBot="1" x14ac:dyDescent="0.25">
      <c r="A42" s="349" t="s">
        <v>64</v>
      </c>
      <c r="B42" s="394"/>
      <c r="C42" s="394"/>
      <c r="D42" s="350"/>
    </row>
    <row r="43" spans="1:5" ht="13.5" thickBot="1" x14ac:dyDescent="0.25">
      <c r="A43" s="27" t="s">
        <v>65</v>
      </c>
      <c r="B43" s="285" t="s">
        <v>66</v>
      </c>
      <c r="C43" s="29" t="s">
        <v>60</v>
      </c>
      <c r="D43" s="30" t="s">
        <v>44</v>
      </c>
    </row>
    <row r="44" spans="1:5" x14ac:dyDescent="0.2">
      <c r="A44" s="9" t="s">
        <v>31</v>
      </c>
      <c r="B44" s="31" t="s">
        <v>67</v>
      </c>
      <c r="C44" s="32">
        <v>0.2</v>
      </c>
      <c r="D44" s="11">
        <f>ROUND(D$29*C44,2)</f>
        <v>397.03</v>
      </c>
    </row>
    <row r="45" spans="1:5" x14ac:dyDescent="0.2">
      <c r="A45" s="10" t="s">
        <v>33</v>
      </c>
      <c r="B45" s="33" t="s">
        <v>68</v>
      </c>
      <c r="C45" s="34">
        <v>2.5000000000000001E-2</v>
      </c>
      <c r="D45" s="11">
        <f t="shared" ref="D45:D51" si="4">ROUND(D$29*C45,2)</f>
        <v>49.63</v>
      </c>
    </row>
    <row r="46" spans="1:5" x14ac:dyDescent="0.2">
      <c r="A46" s="10" t="s">
        <v>36</v>
      </c>
      <c r="B46" s="33" t="s">
        <v>69</v>
      </c>
      <c r="C46" s="98">
        <v>0.03</v>
      </c>
      <c r="D46" s="11">
        <f t="shared" si="4"/>
        <v>59.55</v>
      </c>
    </row>
    <row r="47" spans="1:5" x14ac:dyDescent="0.2">
      <c r="A47" s="10" t="s">
        <v>47</v>
      </c>
      <c r="B47" s="33" t="s">
        <v>70</v>
      </c>
      <c r="C47" s="34">
        <v>1.4999999999999999E-2</v>
      </c>
      <c r="D47" s="11">
        <f t="shared" si="4"/>
        <v>29.78</v>
      </c>
    </row>
    <row r="48" spans="1:5" x14ac:dyDescent="0.2">
      <c r="A48" s="10" t="s">
        <v>49</v>
      </c>
      <c r="B48" s="33" t="s">
        <v>71</v>
      </c>
      <c r="C48" s="34">
        <v>0.01</v>
      </c>
      <c r="D48" s="11">
        <f t="shared" si="4"/>
        <v>19.850000000000001</v>
      </c>
    </row>
    <row r="49" spans="1:5" x14ac:dyDescent="0.2">
      <c r="A49" s="10" t="s">
        <v>72</v>
      </c>
      <c r="B49" s="33" t="s">
        <v>73</v>
      </c>
      <c r="C49" s="34">
        <v>6.0000000000000001E-3</v>
      </c>
      <c r="D49" s="11">
        <f t="shared" si="4"/>
        <v>11.91</v>
      </c>
    </row>
    <row r="50" spans="1:5" x14ac:dyDescent="0.2">
      <c r="A50" s="10" t="s">
        <v>51</v>
      </c>
      <c r="B50" s="33" t="s">
        <v>10</v>
      </c>
      <c r="C50" s="34">
        <v>2E-3</v>
      </c>
      <c r="D50" s="11">
        <f t="shared" si="4"/>
        <v>3.97</v>
      </c>
    </row>
    <row r="51" spans="1:5" x14ac:dyDescent="0.2">
      <c r="A51" s="1" t="s">
        <v>53</v>
      </c>
      <c r="B51" s="35" t="s">
        <v>11</v>
      </c>
      <c r="C51" s="34">
        <v>0.08</v>
      </c>
      <c r="D51" s="11">
        <f t="shared" si="4"/>
        <v>158.81</v>
      </c>
    </row>
    <row r="52" spans="1:5" ht="13.5" thickBot="1" x14ac:dyDescent="0.25">
      <c r="A52" s="352" t="s">
        <v>74</v>
      </c>
      <c r="B52" s="353"/>
      <c r="C52" s="36">
        <f t="shared" ref="C52:D52" si="5">SUM(C44:C51)</f>
        <v>0.36799999999999999</v>
      </c>
      <c r="D52" s="37">
        <f t="shared" si="5"/>
        <v>730.53</v>
      </c>
    </row>
    <row r="53" spans="1:5" x14ac:dyDescent="0.2">
      <c r="A53" s="79" t="s">
        <v>143</v>
      </c>
      <c r="B53" s="85"/>
      <c r="C53" s="86"/>
      <c r="D53" s="87"/>
      <c r="E53" s="88"/>
    </row>
    <row r="54" spans="1:5" x14ac:dyDescent="0.2">
      <c r="A54" s="79" t="s">
        <v>144</v>
      </c>
      <c r="B54" s="85"/>
      <c r="C54" s="86"/>
      <c r="D54" s="87"/>
      <c r="E54" s="88"/>
    </row>
    <row r="55" spans="1:5" ht="13.5" thickBot="1" x14ac:dyDescent="0.25">
      <c r="A55" s="289" t="s">
        <v>166</v>
      </c>
      <c r="B55" s="85"/>
      <c r="C55" s="86"/>
      <c r="D55" s="87"/>
      <c r="E55" s="88"/>
    </row>
    <row r="56" spans="1:5" ht="13.5" thickBot="1" x14ac:dyDescent="0.25">
      <c r="A56" s="344" t="s">
        <v>75</v>
      </c>
      <c r="B56" s="345"/>
      <c r="C56" s="345"/>
      <c r="D56" s="346"/>
    </row>
    <row r="57" spans="1:5" ht="13.5" thickBot="1" x14ac:dyDescent="0.25">
      <c r="A57" s="27" t="s">
        <v>76</v>
      </c>
      <c r="B57" s="354" t="s">
        <v>17</v>
      </c>
      <c r="C57" s="343"/>
      <c r="D57" s="38" t="s">
        <v>44</v>
      </c>
    </row>
    <row r="58" spans="1:5" x14ac:dyDescent="0.2">
      <c r="A58" s="3" t="s">
        <v>31</v>
      </c>
      <c r="B58" s="355" t="s">
        <v>77</v>
      </c>
      <c r="C58" s="356"/>
      <c r="D58" s="11">
        <f>5.5*2*22-6%*D22</f>
        <v>150.38</v>
      </c>
    </row>
    <row r="59" spans="1:5" x14ac:dyDescent="0.2">
      <c r="A59" s="5" t="s">
        <v>33</v>
      </c>
      <c r="B59" s="362" t="s">
        <v>78</v>
      </c>
      <c r="C59" s="358"/>
      <c r="D59" s="39">
        <f>35*22</f>
        <v>770</v>
      </c>
    </row>
    <row r="60" spans="1:5" x14ac:dyDescent="0.2">
      <c r="A60" s="5" t="s">
        <v>3</v>
      </c>
      <c r="B60" s="40" t="s">
        <v>79</v>
      </c>
      <c r="C60" s="41"/>
      <c r="D60" s="39">
        <v>0</v>
      </c>
    </row>
    <row r="61" spans="1:5" x14ac:dyDescent="0.2">
      <c r="A61" s="5" t="s">
        <v>47</v>
      </c>
      <c r="B61" s="42" t="s">
        <v>80</v>
      </c>
      <c r="C61" s="41"/>
      <c r="D61" s="39">
        <v>0</v>
      </c>
    </row>
    <row r="62" spans="1:5" x14ac:dyDescent="0.2">
      <c r="A62" s="3" t="s">
        <v>5</v>
      </c>
      <c r="B62" s="355" t="s">
        <v>81</v>
      </c>
      <c r="C62" s="356"/>
      <c r="D62" s="11">
        <v>2.2999999999999998</v>
      </c>
    </row>
    <row r="63" spans="1:5" x14ac:dyDescent="0.2">
      <c r="A63" s="5" t="s">
        <v>72</v>
      </c>
      <c r="B63" s="362" t="s">
        <v>82</v>
      </c>
      <c r="C63" s="358"/>
      <c r="D63" s="39">
        <v>0</v>
      </c>
    </row>
    <row r="64" spans="1:5" x14ac:dyDescent="0.2">
      <c r="A64" s="5" t="s">
        <v>7</v>
      </c>
      <c r="B64" s="40" t="s">
        <v>83</v>
      </c>
      <c r="C64" s="41"/>
      <c r="D64" s="39">
        <v>0</v>
      </c>
    </row>
    <row r="65" spans="1:7" ht="13.5" thickBot="1" x14ac:dyDescent="0.25">
      <c r="A65" s="43" t="s">
        <v>72</v>
      </c>
      <c r="B65" s="44" t="s">
        <v>84</v>
      </c>
      <c r="C65" s="45"/>
      <c r="D65" s="46">
        <v>0</v>
      </c>
    </row>
    <row r="66" spans="1:7" ht="13.5" thickBot="1" x14ac:dyDescent="0.25">
      <c r="A66" s="392" t="s">
        <v>85</v>
      </c>
      <c r="B66" s="393" t="s">
        <v>85</v>
      </c>
      <c r="C66" s="393"/>
      <c r="D66" s="47">
        <f>SUM(D58:D64)</f>
        <v>922.68</v>
      </c>
    </row>
    <row r="67" spans="1:7" x14ac:dyDescent="0.2">
      <c r="A67" s="79" t="s">
        <v>145</v>
      </c>
      <c r="B67" s="26"/>
      <c r="C67" s="26"/>
      <c r="D67" s="78"/>
    </row>
    <row r="68" spans="1:7" ht="23.25" customHeight="1" thickBot="1" x14ac:dyDescent="0.25">
      <c r="A68" s="351" t="s">
        <v>146</v>
      </c>
      <c r="B68" s="351"/>
      <c r="C68" s="351"/>
      <c r="D68" s="351"/>
    </row>
    <row r="69" spans="1:7" ht="13.5" thickBot="1" x14ac:dyDescent="0.25">
      <c r="A69" s="344" t="s">
        <v>86</v>
      </c>
      <c r="B69" s="345"/>
      <c r="C69" s="345"/>
      <c r="D69" s="346"/>
    </row>
    <row r="70" spans="1:7" ht="36.75" customHeight="1" thickBot="1" x14ac:dyDescent="0.25">
      <c r="A70" s="52">
        <v>2</v>
      </c>
      <c r="B70" s="341" t="s">
        <v>87</v>
      </c>
      <c r="C70" s="343"/>
      <c r="D70" s="53" t="s">
        <v>88</v>
      </c>
    </row>
    <row r="71" spans="1:7" ht="13.5" thickBot="1" x14ac:dyDescent="0.25">
      <c r="A71" s="54" t="s">
        <v>58</v>
      </c>
      <c r="B71" s="347" t="s">
        <v>59</v>
      </c>
      <c r="C71" s="348"/>
      <c r="D71" s="55">
        <f>D38</f>
        <v>554.84</v>
      </c>
    </row>
    <row r="72" spans="1:7" ht="13.5" thickBot="1" x14ac:dyDescent="0.25">
      <c r="A72" s="54" t="s">
        <v>65</v>
      </c>
      <c r="B72" s="347" t="s">
        <v>66</v>
      </c>
      <c r="C72" s="348"/>
      <c r="D72" s="55">
        <f>D52</f>
        <v>730.53</v>
      </c>
    </row>
    <row r="73" spans="1:7" ht="13.5" thickBot="1" x14ac:dyDescent="0.25">
      <c r="A73" s="54" t="s">
        <v>76</v>
      </c>
      <c r="B73" s="339" t="s">
        <v>17</v>
      </c>
      <c r="C73" s="340"/>
      <c r="D73" s="55">
        <f>D66</f>
        <v>922.68</v>
      </c>
    </row>
    <row r="74" spans="1:7" ht="13.5" thickBot="1" x14ac:dyDescent="0.25">
      <c r="A74" s="341" t="s">
        <v>89</v>
      </c>
      <c r="B74" s="342"/>
      <c r="C74" s="343"/>
      <c r="D74" s="56">
        <f>SUM(D71:D73)</f>
        <v>2208.0500000000002</v>
      </c>
    </row>
    <row r="75" spans="1:7" ht="13.5" thickBot="1" x14ac:dyDescent="0.25">
      <c r="A75" s="344" t="s">
        <v>90</v>
      </c>
      <c r="B75" s="345"/>
      <c r="C75" s="345"/>
      <c r="D75" s="346"/>
    </row>
    <row r="76" spans="1:7" ht="13.5" thickBot="1" x14ac:dyDescent="0.25">
      <c r="A76" s="52">
        <v>3</v>
      </c>
      <c r="B76" s="285" t="s">
        <v>22</v>
      </c>
      <c r="C76" s="57" t="s">
        <v>0</v>
      </c>
      <c r="D76" s="53" t="s">
        <v>88</v>
      </c>
    </row>
    <row r="77" spans="1:7" ht="13.5" thickBot="1" x14ac:dyDescent="0.25">
      <c r="A77" s="54" t="s">
        <v>1</v>
      </c>
      <c r="B77" s="58" t="s">
        <v>13</v>
      </c>
      <c r="C77" s="59">
        <v>4.5999999999999999E-3</v>
      </c>
      <c r="D77" s="55">
        <f t="shared" ref="D77:D82" si="6">C77*$D$29</f>
        <v>9.1300000000000008</v>
      </c>
      <c r="G77" s="97"/>
    </row>
    <row r="78" spans="1:7" ht="13.5" thickBot="1" x14ac:dyDescent="0.25">
      <c r="A78" s="54" t="s">
        <v>2</v>
      </c>
      <c r="B78" s="58" t="s">
        <v>91</v>
      </c>
      <c r="C78" s="59">
        <f>8%*C77</f>
        <v>4.0000000000000002E-4</v>
      </c>
      <c r="D78" s="55">
        <f t="shared" si="6"/>
        <v>0.79</v>
      </c>
      <c r="G78" s="97"/>
    </row>
    <row r="79" spans="1:7" ht="26.25" customHeight="1" thickBot="1" x14ac:dyDescent="0.25">
      <c r="A79" s="54" t="s">
        <v>3</v>
      </c>
      <c r="B79" s="58" t="s">
        <v>92</v>
      </c>
      <c r="C79" s="290">
        <v>3.4700000000000002E-2</v>
      </c>
      <c r="D79" s="55">
        <f t="shared" si="6"/>
        <v>68.88</v>
      </c>
      <c r="G79" s="97"/>
    </row>
    <row r="80" spans="1:7" ht="15.75" customHeight="1" thickBot="1" x14ac:dyDescent="0.25">
      <c r="A80" s="54" t="s">
        <v>4</v>
      </c>
      <c r="B80" s="58" t="s">
        <v>23</v>
      </c>
      <c r="C80" s="59">
        <v>1.9400000000000001E-2</v>
      </c>
      <c r="D80" s="55">
        <f t="shared" si="6"/>
        <v>38.51</v>
      </c>
    </row>
    <row r="81" spans="1:4" ht="27" customHeight="1" thickBot="1" x14ac:dyDescent="0.25">
      <c r="A81" s="54" t="s">
        <v>5</v>
      </c>
      <c r="B81" s="58" t="s">
        <v>154</v>
      </c>
      <c r="C81" s="59">
        <f>1*36.8%*C80</f>
        <v>7.1000000000000004E-3</v>
      </c>
      <c r="D81" s="55">
        <f t="shared" si="6"/>
        <v>14.09</v>
      </c>
    </row>
    <row r="82" spans="1:4" ht="26.25" customHeight="1" thickBot="1" x14ac:dyDescent="0.25">
      <c r="A82" s="54" t="s">
        <v>6</v>
      </c>
      <c r="B82" s="58" t="s">
        <v>93</v>
      </c>
      <c r="C82" s="290">
        <v>2.0000000000000001E-4</v>
      </c>
      <c r="D82" s="55">
        <f t="shared" si="6"/>
        <v>0.4</v>
      </c>
    </row>
    <row r="83" spans="1:4" ht="13.5" thickBot="1" x14ac:dyDescent="0.25">
      <c r="A83" s="341" t="s">
        <v>89</v>
      </c>
      <c r="B83" s="343"/>
      <c r="C83" s="60">
        <f t="shared" ref="C83:D83" si="7">SUM(C77:C82)</f>
        <v>6.6400000000000001E-2</v>
      </c>
      <c r="D83" s="61">
        <f t="shared" si="7"/>
        <v>131.80000000000001</v>
      </c>
    </row>
    <row r="84" spans="1:4" ht="33.75" customHeight="1" thickBot="1" x14ac:dyDescent="0.25">
      <c r="A84" s="391" t="s">
        <v>147</v>
      </c>
      <c r="B84" s="391"/>
      <c r="C84" s="391"/>
      <c r="D84" s="391"/>
    </row>
    <row r="85" spans="1:4" ht="13.5" thickBot="1" x14ac:dyDescent="0.25">
      <c r="A85" s="344" t="s">
        <v>94</v>
      </c>
      <c r="B85" s="345"/>
      <c r="C85" s="345"/>
      <c r="D85" s="346"/>
    </row>
    <row r="86" spans="1:4" ht="15.75" customHeight="1" thickBot="1" x14ac:dyDescent="0.25">
      <c r="A86" s="341" t="s">
        <v>95</v>
      </c>
      <c r="B86" s="342"/>
      <c r="C86" s="342"/>
      <c r="D86" s="343"/>
    </row>
    <row r="87" spans="1:4" ht="15" customHeight="1" thickBot="1" x14ac:dyDescent="0.25">
      <c r="A87" s="52" t="s">
        <v>20</v>
      </c>
      <c r="B87" s="284" t="s">
        <v>96</v>
      </c>
      <c r="C87" s="52" t="s">
        <v>0</v>
      </c>
      <c r="D87" s="53" t="s">
        <v>88</v>
      </c>
    </row>
    <row r="88" spans="1:4" ht="13.5" thickBot="1" x14ac:dyDescent="0.25">
      <c r="A88" s="54" t="s">
        <v>1</v>
      </c>
      <c r="B88" s="58" t="s">
        <v>155</v>
      </c>
      <c r="C88" s="291">
        <v>9.0749999999999997E-2</v>
      </c>
      <c r="D88" s="63">
        <f>C88*$D$29</f>
        <v>180.15</v>
      </c>
    </row>
    <row r="89" spans="1:4" ht="13.5" thickBot="1" x14ac:dyDescent="0.25">
      <c r="A89" s="54" t="s">
        <v>2</v>
      </c>
      <c r="B89" s="58" t="s">
        <v>383</v>
      </c>
      <c r="C89" s="62">
        <v>4.1999999999999997E-3</v>
      </c>
      <c r="D89" s="63">
        <f>C89*$D$29</f>
        <v>8.34</v>
      </c>
    </row>
    <row r="90" spans="1:4" ht="15" customHeight="1" thickBot="1" x14ac:dyDescent="0.25">
      <c r="A90" s="54" t="s">
        <v>3</v>
      </c>
      <c r="B90" s="58" t="s">
        <v>98</v>
      </c>
      <c r="C90" s="62">
        <v>2.0000000000000001E-4</v>
      </c>
      <c r="D90" s="63">
        <f>C90*$D$29</f>
        <v>0.4</v>
      </c>
    </row>
    <row r="91" spans="1:4" ht="22.5" customHeight="1" thickBot="1" x14ac:dyDescent="0.25">
      <c r="A91" s="54" t="s">
        <v>4</v>
      </c>
      <c r="B91" s="58" t="s">
        <v>99</v>
      </c>
      <c r="C91" s="62">
        <v>4.1999999999999997E-3</v>
      </c>
      <c r="D91" s="63">
        <f>C91*$D$29</f>
        <v>8.34</v>
      </c>
    </row>
    <row r="92" spans="1:4" ht="13.5" thickBot="1" x14ac:dyDescent="0.25">
      <c r="A92" s="54" t="s">
        <v>5</v>
      </c>
      <c r="B92" s="58" t="s">
        <v>156</v>
      </c>
      <c r="C92" s="62">
        <v>2.0000000000000001E-4</v>
      </c>
      <c r="D92" s="63">
        <f>C92*$D$29</f>
        <v>0.4</v>
      </c>
    </row>
    <row r="93" spans="1:4" ht="39" thickBot="1" x14ac:dyDescent="0.25">
      <c r="A93" s="54" t="s">
        <v>6</v>
      </c>
      <c r="B93" s="58" t="s">
        <v>384</v>
      </c>
      <c r="C93" s="273">
        <f>SUM(C88:C92)*C52</f>
        <v>3.6600000000000001E-2</v>
      </c>
      <c r="D93" s="63">
        <f t="shared" ref="D93" si="8">C93*$D$29</f>
        <v>72.66</v>
      </c>
    </row>
    <row r="94" spans="1:4" ht="13.5" thickBot="1" x14ac:dyDescent="0.25">
      <c r="A94" s="341" t="s">
        <v>63</v>
      </c>
      <c r="B94" s="342"/>
      <c r="C94" s="64">
        <f t="shared" ref="C94:D94" si="9">SUM(C88:C93)</f>
        <v>0.13619999999999999</v>
      </c>
      <c r="D94" s="61">
        <f t="shared" si="9"/>
        <v>270.29000000000002</v>
      </c>
    </row>
    <row r="95" spans="1:4" ht="36.75" customHeight="1" thickBot="1" x14ac:dyDescent="0.25">
      <c r="A95" s="357" t="s">
        <v>153</v>
      </c>
      <c r="B95" s="357"/>
      <c r="C95" s="357"/>
      <c r="D95" s="357"/>
    </row>
    <row r="96" spans="1:4" ht="15.75" customHeight="1" thickBot="1" x14ac:dyDescent="0.25">
      <c r="A96" s="344" t="s">
        <v>101</v>
      </c>
      <c r="B96" s="345"/>
      <c r="C96" s="345"/>
      <c r="D96" s="346"/>
    </row>
    <row r="97" spans="1:4" ht="15.75" customHeight="1" thickBot="1" x14ac:dyDescent="0.25">
      <c r="A97" s="52" t="s">
        <v>21</v>
      </c>
      <c r="B97" s="341" t="s">
        <v>102</v>
      </c>
      <c r="C97" s="343"/>
      <c r="D97" s="53" t="s">
        <v>88</v>
      </c>
    </row>
    <row r="98" spans="1:4" ht="15" customHeight="1" thickBot="1" x14ac:dyDescent="0.25">
      <c r="A98" s="54" t="s">
        <v>1</v>
      </c>
      <c r="B98" s="339" t="s">
        <v>157</v>
      </c>
      <c r="C98" s="340"/>
      <c r="D98" s="55">
        <v>0</v>
      </c>
    </row>
    <row r="99" spans="1:4" ht="15.75" customHeight="1" thickBot="1" x14ac:dyDescent="0.25">
      <c r="A99" s="341" t="s">
        <v>89</v>
      </c>
      <c r="B99" s="342"/>
      <c r="C99" s="343"/>
      <c r="D99" s="55">
        <f>SUM(D98)</f>
        <v>0</v>
      </c>
    </row>
    <row r="100" spans="1:4" ht="13.5" thickBot="1" x14ac:dyDescent="0.25">
      <c r="A100" s="48"/>
      <c r="B100" s="49"/>
      <c r="C100" s="50"/>
      <c r="D100" s="51"/>
    </row>
    <row r="101" spans="1:4" ht="13.5" thickBot="1" x14ac:dyDescent="0.25">
      <c r="A101" s="344" t="s">
        <v>103</v>
      </c>
      <c r="B101" s="345"/>
      <c r="C101" s="345"/>
      <c r="D101" s="346"/>
    </row>
    <row r="102" spans="1:4" ht="13.5" thickBot="1" x14ac:dyDescent="0.25">
      <c r="A102" s="52">
        <v>4</v>
      </c>
      <c r="B102" s="341" t="s">
        <v>104</v>
      </c>
      <c r="C102" s="343"/>
      <c r="D102" s="53" t="s">
        <v>88</v>
      </c>
    </row>
    <row r="103" spans="1:4" ht="15" customHeight="1" thickBot="1" x14ac:dyDescent="0.25">
      <c r="A103" s="54" t="s">
        <v>20</v>
      </c>
      <c r="B103" s="339" t="s">
        <v>96</v>
      </c>
      <c r="C103" s="340"/>
      <c r="D103" s="55">
        <f>D94</f>
        <v>270.29000000000002</v>
      </c>
    </row>
    <row r="104" spans="1:4" ht="15.75" customHeight="1" thickBot="1" x14ac:dyDescent="0.25">
      <c r="A104" s="54" t="s">
        <v>21</v>
      </c>
      <c r="B104" s="339" t="s">
        <v>102</v>
      </c>
      <c r="C104" s="340"/>
      <c r="D104" s="55">
        <f>D99</f>
        <v>0</v>
      </c>
    </row>
    <row r="105" spans="1:4" ht="15.75" customHeight="1" thickBot="1" x14ac:dyDescent="0.25">
      <c r="A105" s="341" t="s">
        <v>89</v>
      </c>
      <c r="B105" s="342"/>
      <c r="C105" s="343"/>
      <c r="D105" s="61">
        <f>SUM(D103:D104)</f>
        <v>270.29000000000002</v>
      </c>
    </row>
    <row r="106" spans="1:4" ht="15.75" customHeight="1" thickBot="1" x14ac:dyDescent="0.25">
      <c r="A106" s="48"/>
      <c r="B106" s="49"/>
      <c r="C106" s="50"/>
      <c r="D106" s="51"/>
    </row>
    <row r="107" spans="1:4" ht="15.75" customHeight="1" thickBot="1" x14ac:dyDescent="0.25">
      <c r="A107" s="344" t="s">
        <v>105</v>
      </c>
      <c r="B107" s="345"/>
      <c r="C107" s="345"/>
      <c r="D107" s="346"/>
    </row>
    <row r="108" spans="1:4" ht="15.75" customHeight="1" thickBot="1" x14ac:dyDescent="0.25">
      <c r="A108" s="52">
        <v>5</v>
      </c>
      <c r="B108" s="341" t="s">
        <v>18</v>
      </c>
      <c r="C108" s="343"/>
      <c r="D108" s="53" t="s">
        <v>88</v>
      </c>
    </row>
    <row r="109" spans="1:4" ht="13.5" thickBot="1" x14ac:dyDescent="0.25">
      <c r="A109" s="54" t="s">
        <v>1</v>
      </c>
      <c r="B109" s="339" t="s">
        <v>19</v>
      </c>
      <c r="C109" s="340"/>
      <c r="D109" s="55">
        <f>Uniformes!K16</f>
        <v>41.4</v>
      </c>
    </row>
    <row r="110" spans="1:4" ht="13.5" thickBot="1" x14ac:dyDescent="0.25">
      <c r="A110" s="54" t="s">
        <v>2</v>
      </c>
      <c r="B110" s="339" t="s">
        <v>27</v>
      </c>
      <c r="C110" s="340"/>
      <c r="D110" s="55">
        <v>0</v>
      </c>
    </row>
    <row r="111" spans="1:4" ht="13.5" thickBot="1" x14ac:dyDescent="0.25">
      <c r="A111" s="54" t="s">
        <v>3</v>
      </c>
      <c r="B111" s="339" t="s">
        <v>345</v>
      </c>
      <c r="C111" s="340"/>
      <c r="D111" s="55">
        <f>Equipamento!G16</f>
        <v>5.6</v>
      </c>
    </row>
    <row r="112" spans="1:4" ht="15" customHeight="1" thickBot="1" x14ac:dyDescent="0.25">
      <c r="A112" s="54" t="s">
        <v>4</v>
      </c>
      <c r="B112" s="339" t="s">
        <v>347</v>
      </c>
      <c r="C112" s="340"/>
      <c r="D112" s="55">
        <v>0</v>
      </c>
    </row>
    <row r="113" spans="1:5" ht="15.75" customHeight="1" thickBot="1" x14ac:dyDescent="0.25">
      <c r="A113" s="341" t="s">
        <v>63</v>
      </c>
      <c r="B113" s="342"/>
      <c r="C113" s="343"/>
      <c r="D113" s="56">
        <f>SUM(D109:D112)</f>
        <v>47</v>
      </c>
    </row>
    <row r="114" spans="1:5" ht="13.5" thickBot="1" x14ac:dyDescent="0.25">
      <c r="A114" s="48"/>
      <c r="B114" s="49"/>
      <c r="C114" s="50"/>
      <c r="D114" s="51"/>
    </row>
    <row r="115" spans="1:5" ht="15.75" customHeight="1" thickBot="1" x14ac:dyDescent="0.25">
      <c r="A115" s="344" t="s">
        <v>106</v>
      </c>
      <c r="B115" s="345"/>
      <c r="C115" s="345"/>
      <c r="D115" s="346"/>
    </row>
    <row r="116" spans="1:5" ht="18" customHeight="1" thickBot="1" x14ac:dyDescent="0.25">
      <c r="A116" s="52">
        <v>6</v>
      </c>
      <c r="B116" s="65" t="s">
        <v>24</v>
      </c>
      <c r="C116" s="285" t="s">
        <v>0</v>
      </c>
      <c r="D116" s="53" t="s">
        <v>88</v>
      </c>
    </row>
    <row r="117" spans="1:5" ht="15.75" customHeight="1" thickBot="1" x14ac:dyDescent="0.25">
      <c r="A117" s="54" t="s">
        <v>1</v>
      </c>
      <c r="B117" s="66" t="s">
        <v>25</v>
      </c>
      <c r="C117" s="62">
        <v>0.05</v>
      </c>
      <c r="D117" s="55">
        <f>C117*D135</f>
        <v>232.11</v>
      </c>
    </row>
    <row r="118" spans="1:5" ht="13.5" thickBot="1" x14ac:dyDescent="0.25">
      <c r="A118" s="54" t="s">
        <v>2</v>
      </c>
      <c r="B118" s="66" t="s">
        <v>108</v>
      </c>
      <c r="C118" s="62">
        <v>3.0499999999999999E-2</v>
      </c>
      <c r="D118" s="55">
        <f>(D117+D135)*C118</f>
        <v>148.66999999999999</v>
      </c>
    </row>
    <row r="119" spans="1:5" ht="13.5" thickBot="1" x14ac:dyDescent="0.25">
      <c r="A119" s="54" t="s">
        <v>3</v>
      </c>
      <c r="B119" s="66" t="s">
        <v>109</v>
      </c>
      <c r="C119" s="62">
        <f>C120+C121+C122</f>
        <v>0.14249999999999999</v>
      </c>
      <c r="D119" s="55">
        <f>((D117+D118+D135)/(1-C119))*C119</f>
        <v>834.74</v>
      </c>
      <c r="E119" s="97"/>
    </row>
    <row r="120" spans="1:5" ht="13.5" thickBot="1" x14ac:dyDescent="0.25">
      <c r="A120" s="54"/>
      <c r="B120" s="66" t="s">
        <v>110</v>
      </c>
      <c r="C120" s="62">
        <v>9.2499999999999999E-2</v>
      </c>
      <c r="D120" s="55">
        <f>D137*C120</f>
        <v>541.85</v>
      </c>
    </row>
    <row r="121" spans="1:5" ht="13.5" thickBot="1" x14ac:dyDescent="0.25">
      <c r="A121" s="54"/>
      <c r="B121" s="66" t="s">
        <v>111</v>
      </c>
      <c r="C121" s="67">
        <v>0.05</v>
      </c>
      <c r="D121" s="55">
        <f>C121*D137</f>
        <v>292.89</v>
      </c>
    </row>
    <row r="122" spans="1:5" ht="13.5" thickBot="1" x14ac:dyDescent="0.25">
      <c r="A122" s="54"/>
      <c r="B122" s="66" t="s">
        <v>112</v>
      </c>
      <c r="C122" s="67">
        <v>0</v>
      </c>
      <c r="D122" s="55">
        <f>C122*D137</f>
        <v>0</v>
      </c>
    </row>
    <row r="123" spans="1:5" ht="13.5" thickBot="1" x14ac:dyDescent="0.25">
      <c r="A123" s="341" t="s">
        <v>63</v>
      </c>
      <c r="B123" s="343"/>
      <c r="C123" s="64">
        <f>C119+C117+C118</f>
        <v>0.223</v>
      </c>
      <c r="D123" s="53">
        <f>SUM(D117,D118,D119)</f>
        <v>1215.52</v>
      </c>
    </row>
    <row r="124" spans="1:5" x14ac:dyDescent="0.2">
      <c r="A124" s="79" t="s">
        <v>148</v>
      </c>
      <c r="B124" s="49"/>
      <c r="C124" s="50"/>
      <c r="D124" s="51"/>
    </row>
    <row r="125" spans="1:5" ht="21.75" customHeight="1" x14ac:dyDescent="0.2">
      <c r="A125" s="351" t="s">
        <v>149</v>
      </c>
      <c r="B125" s="351"/>
      <c r="C125" s="351"/>
      <c r="D125" s="351"/>
    </row>
    <row r="126" spans="1:5" x14ac:dyDescent="0.2">
      <c r="A126" s="79" t="s">
        <v>150</v>
      </c>
      <c r="B126" s="49"/>
      <c r="C126" s="50"/>
      <c r="D126" s="51"/>
    </row>
    <row r="127" spans="1:5" ht="13.5" thickBot="1" x14ac:dyDescent="0.25">
      <c r="A127" s="48"/>
      <c r="B127" s="49"/>
      <c r="C127" s="50"/>
      <c r="D127" s="51"/>
    </row>
    <row r="128" spans="1:5" ht="15" customHeight="1" thickBot="1" x14ac:dyDescent="0.25">
      <c r="A128" s="344" t="s">
        <v>113</v>
      </c>
      <c r="B128" s="345"/>
      <c r="C128" s="345"/>
      <c r="D128" s="346"/>
    </row>
    <row r="129" spans="1:4" ht="21.75" customHeight="1" thickBot="1" x14ac:dyDescent="0.25">
      <c r="A129" s="52"/>
      <c r="B129" s="349" t="s">
        <v>114</v>
      </c>
      <c r="C129" s="350"/>
      <c r="D129" s="53" t="s">
        <v>88</v>
      </c>
    </row>
    <row r="130" spans="1:4" ht="15.75" customHeight="1" thickBot="1" x14ac:dyDescent="0.25">
      <c r="A130" s="68" t="s">
        <v>1</v>
      </c>
      <c r="B130" s="347" t="s">
        <v>26</v>
      </c>
      <c r="C130" s="348"/>
      <c r="D130" s="55">
        <f>D29</f>
        <v>1985.14</v>
      </c>
    </row>
    <row r="131" spans="1:4" ht="15.75" customHeight="1" thickBot="1" x14ac:dyDescent="0.25">
      <c r="A131" s="68" t="s">
        <v>2</v>
      </c>
      <c r="B131" s="339" t="s">
        <v>56</v>
      </c>
      <c r="C131" s="340"/>
      <c r="D131" s="55">
        <f>D74</f>
        <v>2208.0500000000002</v>
      </c>
    </row>
    <row r="132" spans="1:4" ht="13.5" thickBot="1" x14ac:dyDescent="0.25">
      <c r="A132" s="68" t="s">
        <v>3</v>
      </c>
      <c r="B132" s="339" t="s">
        <v>90</v>
      </c>
      <c r="C132" s="340"/>
      <c r="D132" s="55">
        <f>D83</f>
        <v>131.80000000000001</v>
      </c>
    </row>
    <row r="133" spans="1:4" ht="15.75" customHeight="1" thickBot="1" x14ac:dyDescent="0.25">
      <c r="A133" s="68" t="s">
        <v>4</v>
      </c>
      <c r="B133" s="339" t="s">
        <v>94</v>
      </c>
      <c r="C133" s="340"/>
      <c r="D133" s="55">
        <f>D105</f>
        <v>270.29000000000002</v>
      </c>
    </row>
    <row r="134" spans="1:4" ht="15" customHeight="1" thickBot="1" x14ac:dyDescent="0.25">
      <c r="A134" s="68" t="s">
        <v>5</v>
      </c>
      <c r="B134" s="339" t="s">
        <v>105</v>
      </c>
      <c r="C134" s="340"/>
      <c r="D134" s="55">
        <f>D113</f>
        <v>47</v>
      </c>
    </row>
    <row r="135" spans="1:4" ht="13.5" thickBot="1" x14ac:dyDescent="0.25">
      <c r="A135" s="341" t="s">
        <v>115</v>
      </c>
      <c r="B135" s="342"/>
      <c r="C135" s="343"/>
      <c r="D135" s="55">
        <f>SUM(D130:D134)</f>
        <v>4642.28</v>
      </c>
    </row>
    <row r="136" spans="1:4" ht="14.25" customHeight="1" thickBot="1" x14ac:dyDescent="0.25">
      <c r="A136" s="68" t="s">
        <v>6</v>
      </c>
      <c r="B136" s="347" t="s">
        <v>116</v>
      </c>
      <c r="C136" s="348"/>
      <c r="D136" s="69">
        <f>D123</f>
        <v>1215.52</v>
      </c>
    </row>
    <row r="137" spans="1:4" ht="15" customHeight="1" thickBot="1" x14ac:dyDescent="0.25">
      <c r="A137" s="341" t="s">
        <v>117</v>
      </c>
      <c r="B137" s="342"/>
      <c r="C137" s="343"/>
      <c r="D137" s="70">
        <f>ROUND((D135+D136),2)</f>
        <v>5857.8</v>
      </c>
    </row>
    <row r="138" spans="1:4" ht="21" customHeight="1" x14ac:dyDescent="0.2">
      <c r="A138" s="369"/>
      <c r="B138" s="369"/>
      <c r="C138" s="369"/>
      <c r="D138" s="369"/>
    </row>
    <row r="139" spans="1:4" ht="15" customHeight="1" x14ac:dyDescent="0.2"/>
    <row r="140" spans="1:4" ht="15" customHeight="1" x14ac:dyDescent="0.2"/>
    <row r="142" spans="1:4" ht="15" customHeight="1" x14ac:dyDescent="0.2"/>
    <row r="143" spans="1:4" ht="14.25" customHeight="1" x14ac:dyDescent="0.2"/>
  </sheetData>
  <mergeCells count="86">
    <mergeCell ref="A6:D6"/>
    <mergeCell ref="A1:D1"/>
    <mergeCell ref="A2:D2"/>
    <mergeCell ref="A3:D3"/>
    <mergeCell ref="A4:D4"/>
    <mergeCell ref="A5:D5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86:D8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85:D85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B130:C130"/>
    <mergeCell ref="B108:C108"/>
    <mergeCell ref="B109:C109"/>
    <mergeCell ref="B110:C110"/>
    <mergeCell ref="B111:C111"/>
    <mergeCell ref="B112:C112"/>
    <mergeCell ref="A113:C113"/>
    <mergeCell ref="A115:D115"/>
    <mergeCell ref="A123:B123"/>
    <mergeCell ref="A125:D125"/>
    <mergeCell ref="A128:D128"/>
    <mergeCell ref="B129:C129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3"/>
  <sheetViews>
    <sheetView showGridLines="0" topLeftCell="A19" workbookViewId="0">
      <selection activeCell="C121" sqref="C121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16384" width="9.140625" style="13"/>
  </cols>
  <sheetData>
    <row r="1" spans="1:4" ht="12.75" customHeight="1" x14ac:dyDescent="0.2">
      <c r="A1" s="367" t="s">
        <v>28</v>
      </c>
      <c r="B1" s="368"/>
      <c r="C1" s="368"/>
      <c r="D1" s="368"/>
    </row>
    <row r="2" spans="1:4" ht="12.75" customHeight="1" x14ac:dyDescent="0.2">
      <c r="A2" s="367" t="s">
        <v>29</v>
      </c>
      <c r="B2" s="368"/>
      <c r="C2" s="368"/>
      <c r="D2" s="368"/>
    </row>
    <row r="3" spans="1:4" ht="12.75" customHeight="1" x14ac:dyDescent="0.2">
      <c r="A3" s="367" t="s">
        <v>171</v>
      </c>
      <c r="B3" s="368"/>
      <c r="C3" s="368"/>
      <c r="D3" s="368"/>
    </row>
    <row r="4" spans="1:4" ht="15" customHeight="1" x14ac:dyDescent="0.2">
      <c r="A4" s="367" t="s">
        <v>172</v>
      </c>
      <c r="B4" s="368"/>
      <c r="C4" s="368"/>
      <c r="D4" s="368"/>
    </row>
    <row r="5" spans="1:4" ht="3.75" customHeight="1" x14ac:dyDescent="0.2">
      <c r="A5" s="367"/>
      <c r="B5" s="368"/>
      <c r="C5" s="368"/>
      <c r="D5" s="368"/>
    </row>
    <row r="6" spans="1:4" ht="13.5" thickBot="1" x14ac:dyDescent="0.25">
      <c r="A6" s="370" t="s">
        <v>30</v>
      </c>
      <c r="B6" s="371"/>
      <c r="C6" s="371"/>
      <c r="D6" s="371"/>
    </row>
    <row r="7" spans="1:4" x14ac:dyDescent="0.2">
      <c r="A7" s="372" t="s">
        <v>130</v>
      </c>
      <c r="B7" s="373"/>
      <c r="C7" s="373"/>
      <c r="D7" s="374"/>
    </row>
    <row r="8" spans="1:4" ht="13.5" customHeight="1" thickBot="1" x14ac:dyDescent="0.25">
      <c r="A8" s="370" t="s">
        <v>131</v>
      </c>
      <c r="B8" s="371"/>
      <c r="C8" s="371"/>
      <c r="D8" s="382"/>
    </row>
    <row r="9" spans="1:4" ht="13.5" thickBot="1" x14ac:dyDescent="0.25">
      <c r="A9" s="383" t="s">
        <v>14</v>
      </c>
      <c r="B9" s="384"/>
      <c r="C9" s="384"/>
      <c r="D9" s="384"/>
    </row>
    <row r="10" spans="1:4" x14ac:dyDescent="0.2">
      <c r="A10" s="3" t="s">
        <v>31</v>
      </c>
      <c r="B10" s="385" t="s">
        <v>32</v>
      </c>
      <c r="C10" s="385"/>
      <c r="D10" s="4" t="s">
        <v>375</v>
      </c>
    </row>
    <row r="11" spans="1:4" x14ac:dyDescent="0.2">
      <c r="A11" s="5" t="s">
        <v>33</v>
      </c>
      <c r="B11" s="386" t="s">
        <v>34</v>
      </c>
      <c r="C11" s="386"/>
      <c r="D11" s="6" t="s">
        <v>35</v>
      </c>
    </row>
    <row r="12" spans="1:4" ht="25.5" x14ac:dyDescent="0.2">
      <c r="A12" s="5" t="s">
        <v>36</v>
      </c>
      <c r="B12" s="387" t="s">
        <v>37</v>
      </c>
      <c r="C12" s="388"/>
      <c r="D12" s="115" t="s">
        <v>399</v>
      </c>
    </row>
    <row r="13" spans="1:4" ht="13.5" thickBot="1" x14ac:dyDescent="0.25">
      <c r="A13" s="7" t="s">
        <v>4</v>
      </c>
      <c r="B13" s="375" t="s">
        <v>38</v>
      </c>
      <c r="C13" s="375"/>
      <c r="D13" s="8">
        <v>12</v>
      </c>
    </row>
    <row r="14" spans="1:4" ht="13.5" thickBot="1" x14ac:dyDescent="0.25">
      <c r="A14" s="378" t="s">
        <v>39</v>
      </c>
      <c r="B14" s="379"/>
      <c r="C14" s="379"/>
      <c r="D14" s="379"/>
    </row>
    <row r="15" spans="1:4" ht="25.5" x14ac:dyDescent="0.2">
      <c r="A15" s="121">
        <v>1</v>
      </c>
      <c r="B15" s="123" t="s">
        <v>40</v>
      </c>
      <c r="C15" s="380" t="s">
        <v>169</v>
      </c>
      <c r="D15" s="381"/>
    </row>
    <row r="16" spans="1:4" x14ac:dyDescent="0.2">
      <c r="A16" s="17">
        <v>2</v>
      </c>
      <c r="B16" s="397" t="s">
        <v>15</v>
      </c>
      <c r="C16" s="355"/>
      <c r="D16" s="11">
        <v>1901.53</v>
      </c>
    </row>
    <row r="17" spans="1:4" x14ac:dyDescent="0.2">
      <c r="A17" s="17">
        <v>3</v>
      </c>
      <c r="B17" s="398" t="s">
        <v>41</v>
      </c>
      <c r="C17" s="399"/>
      <c r="D17" s="119" t="s">
        <v>411</v>
      </c>
    </row>
    <row r="18" spans="1:4" x14ac:dyDescent="0.2">
      <c r="A18" s="21">
        <v>4</v>
      </c>
      <c r="B18" s="400" t="s">
        <v>132</v>
      </c>
      <c r="C18" s="401"/>
      <c r="D18" s="124" t="s">
        <v>412</v>
      </c>
    </row>
    <row r="19" spans="1:4" ht="13.5" thickBot="1" x14ac:dyDescent="0.25">
      <c r="A19" s="122">
        <v>5</v>
      </c>
      <c r="B19" s="395" t="s">
        <v>42</v>
      </c>
      <c r="C19" s="396"/>
      <c r="D19" s="120">
        <v>44197</v>
      </c>
    </row>
    <row r="20" spans="1:4" ht="13.5" thickBot="1" x14ac:dyDescent="0.25">
      <c r="A20" s="365" t="s">
        <v>26</v>
      </c>
      <c r="B20" s="366"/>
      <c r="C20" s="366"/>
      <c r="D20" s="366"/>
    </row>
    <row r="21" spans="1:4" ht="13.5" thickBot="1" x14ac:dyDescent="0.25">
      <c r="A21" s="287">
        <v>1</v>
      </c>
      <c r="B21" s="376" t="s">
        <v>43</v>
      </c>
      <c r="C21" s="377"/>
      <c r="D21" s="14" t="s">
        <v>44</v>
      </c>
    </row>
    <row r="22" spans="1:4" x14ac:dyDescent="0.2">
      <c r="A22" s="15" t="s">
        <v>31</v>
      </c>
      <c r="B22" s="356" t="s">
        <v>45</v>
      </c>
      <c r="C22" s="356"/>
      <c r="D22" s="16">
        <f>D16</f>
        <v>1901.53</v>
      </c>
    </row>
    <row r="23" spans="1:4" x14ac:dyDescent="0.2">
      <c r="A23" s="17" t="s">
        <v>33</v>
      </c>
      <c r="B23" s="286" t="s">
        <v>16</v>
      </c>
      <c r="C23" s="18">
        <v>0</v>
      </c>
      <c r="D23" s="19">
        <f t="shared" ref="D23" si="0">C23*D22</f>
        <v>0</v>
      </c>
    </row>
    <row r="24" spans="1:4" x14ac:dyDescent="0.2">
      <c r="A24" s="17" t="s">
        <v>36</v>
      </c>
      <c r="B24" s="358" t="s">
        <v>46</v>
      </c>
      <c r="C24" s="358"/>
      <c r="D24" s="19">
        <v>0</v>
      </c>
    </row>
    <row r="25" spans="1:4" x14ac:dyDescent="0.2">
      <c r="A25" s="17" t="s">
        <v>47</v>
      </c>
      <c r="B25" s="286" t="s">
        <v>48</v>
      </c>
      <c r="C25" s="20">
        <v>0</v>
      </c>
      <c r="D25" s="19">
        <v>0</v>
      </c>
    </row>
    <row r="26" spans="1:4" x14ac:dyDescent="0.2">
      <c r="A26" s="17" t="s">
        <v>49</v>
      </c>
      <c r="B26" s="358" t="s">
        <v>50</v>
      </c>
      <c r="C26" s="358"/>
      <c r="D26" s="19">
        <f t="shared" ref="D26" si="1">D22/220*0.2*0*15</f>
        <v>0</v>
      </c>
    </row>
    <row r="27" spans="1:4" x14ac:dyDescent="0.2">
      <c r="A27" s="17" t="s">
        <v>51</v>
      </c>
      <c r="B27" s="358" t="s">
        <v>52</v>
      </c>
      <c r="C27" s="358"/>
      <c r="D27" s="19">
        <v>0</v>
      </c>
    </row>
    <row r="28" spans="1:4" x14ac:dyDescent="0.2">
      <c r="A28" s="21" t="s">
        <v>53</v>
      </c>
      <c r="B28" s="359" t="s">
        <v>54</v>
      </c>
      <c r="C28" s="359"/>
      <c r="D28" s="22">
        <v>0</v>
      </c>
    </row>
    <row r="29" spans="1:4" ht="13.5" thickBot="1" x14ac:dyDescent="0.25">
      <c r="A29" s="352" t="s">
        <v>55</v>
      </c>
      <c r="B29" s="360"/>
      <c r="C29" s="353"/>
      <c r="D29" s="23">
        <f t="shared" ref="D29" si="2">ROUND(SUM(D22:D28),2)</f>
        <v>1901.53</v>
      </c>
    </row>
    <row r="30" spans="1:4" ht="13.5" thickBot="1" x14ac:dyDescent="0.25">
      <c r="A30" s="289" t="s">
        <v>141</v>
      </c>
      <c r="B30" s="77"/>
      <c r="C30" s="24"/>
      <c r="D30" s="25"/>
    </row>
    <row r="31" spans="1:4" ht="13.5" thickBot="1" x14ac:dyDescent="0.25">
      <c r="A31" s="344" t="s">
        <v>56</v>
      </c>
      <c r="B31" s="345"/>
      <c r="C31" s="345"/>
      <c r="D31" s="346"/>
    </row>
    <row r="32" spans="1:4" ht="13.5" thickBot="1" x14ac:dyDescent="0.25">
      <c r="A32" s="344" t="s">
        <v>57</v>
      </c>
      <c r="B32" s="345"/>
      <c r="C32" s="345"/>
      <c r="D32" s="346"/>
    </row>
    <row r="33" spans="1:5" ht="13.5" thickBot="1" x14ac:dyDescent="0.25">
      <c r="A33" s="27" t="s">
        <v>58</v>
      </c>
      <c r="B33" s="28" t="s">
        <v>59</v>
      </c>
      <c r="C33" s="29" t="s">
        <v>60</v>
      </c>
      <c r="D33" s="30" t="s">
        <v>44</v>
      </c>
    </row>
    <row r="34" spans="1:5" x14ac:dyDescent="0.2">
      <c r="A34" s="9" t="s">
        <v>31</v>
      </c>
      <c r="B34" s="31" t="s">
        <v>61</v>
      </c>
      <c r="C34" s="32">
        <v>8.3299999999999999E-2</v>
      </c>
      <c r="D34" s="11">
        <f>ROUND(D$29*C34,2)</f>
        <v>158.4</v>
      </c>
    </row>
    <row r="35" spans="1:5" x14ac:dyDescent="0.2">
      <c r="A35" s="10" t="s">
        <v>33</v>
      </c>
      <c r="B35" s="33" t="s">
        <v>62</v>
      </c>
      <c r="C35" s="34">
        <v>0.121</v>
      </c>
      <c r="D35" s="11">
        <f t="shared" ref="D35" si="3">ROUND(D$29*C35,2)</f>
        <v>230.09</v>
      </c>
    </row>
    <row r="36" spans="1:5" ht="13.5" thickBot="1" x14ac:dyDescent="0.25">
      <c r="A36" s="335" t="s">
        <v>164</v>
      </c>
      <c r="B36" s="336"/>
      <c r="C36" s="82">
        <f>SUM(A34:C35)</f>
        <v>0.20430000000000001</v>
      </c>
      <c r="D36" s="11">
        <f>SUM(D34:D35)</f>
        <v>388.49</v>
      </c>
    </row>
    <row r="37" spans="1:5" ht="25.5" x14ac:dyDescent="0.2">
      <c r="A37" s="1" t="s">
        <v>3</v>
      </c>
      <c r="B37" s="83" t="s">
        <v>165</v>
      </c>
      <c r="C37" s="84">
        <f>C36*C52</f>
        <v>7.5200000000000003E-2</v>
      </c>
      <c r="D37" s="11">
        <f>ROUND(D$29*C37,2)</f>
        <v>143</v>
      </c>
      <c r="E37" s="96"/>
    </row>
    <row r="38" spans="1:5" x14ac:dyDescent="0.2">
      <c r="A38" s="337" t="s">
        <v>63</v>
      </c>
      <c r="B38" s="338"/>
      <c r="C38" s="338"/>
      <c r="D38" s="11">
        <f>SUM(D36:D37)</f>
        <v>531.49</v>
      </c>
    </row>
    <row r="39" spans="1:5" ht="31.5" customHeight="1" x14ac:dyDescent="0.2">
      <c r="A39" s="389" t="s">
        <v>151</v>
      </c>
      <c r="B39" s="389"/>
      <c r="C39" s="389"/>
      <c r="D39" s="389"/>
    </row>
    <row r="40" spans="1:5" ht="22.5" customHeight="1" x14ac:dyDescent="0.2">
      <c r="A40" s="389" t="s">
        <v>142</v>
      </c>
      <c r="B40" s="389"/>
      <c r="C40" s="389"/>
      <c r="D40" s="389"/>
    </row>
    <row r="41" spans="1:5" ht="33" customHeight="1" thickBot="1" x14ac:dyDescent="0.25">
      <c r="A41" s="390" t="s">
        <v>152</v>
      </c>
      <c r="B41" s="390"/>
      <c r="C41" s="390"/>
      <c r="D41" s="390"/>
    </row>
    <row r="42" spans="1:5" ht="24.75" customHeight="1" thickBot="1" x14ac:dyDescent="0.25">
      <c r="A42" s="349" t="s">
        <v>64</v>
      </c>
      <c r="B42" s="394"/>
      <c r="C42" s="394"/>
      <c r="D42" s="350"/>
    </row>
    <row r="43" spans="1:5" ht="13.5" thickBot="1" x14ac:dyDescent="0.25">
      <c r="A43" s="27" t="s">
        <v>65</v>
      </c>
      <c r="B43" s="285" t="s">
        <v>66</v>
      </c>
      <c r="C43" s="29" t="s">
        <v>60</v>
      </c>
      <c r="D43" s="30" t="s">
        <v>44</v>
      </c>
    </row>
    <row r="44" spans="1:5" x14ac:dyDescent="0.2">
      <c r="A44" s="9" t="s">
        <v>31</v>
      </c>
      <c r="B44" s="31" t="s">
        <v>67</v>
      </c>
      <c r="C44" s="32">
        <v>0.2</v>
      </c>
      <c r="D44" s="11">
        <f>ROUND(D$29*C44,2)</f>
        <v>380.31</v>
      </c>
    </row>
    <row r="45" spans="1:5" x14ac:dyDescent="0.2">
      <c r="A45" s="10" t="s">
        <v>33</v>
      </c>
      <c r="B45" s="33" t="s">
        <v>68</v>
      </c>
      <c r="C45" s="34">
        <v>2.5000000000000001E-2</v>
      </c>
      <c r="D45" s="11">
        <f t="shared" ref="D45:D51" si="4">ROUND(D$29*C45,2)</f>
        <v>47.54</v>
      </c>
    </row>
    <row r="46" spans="1:5" x14ac:dyDescent="0.2">
      <c r="A46" s="10" t="s">
        <v>36</v>
      </c>
      <c r="B46" s="33" t="s">
        <v>69</v>
      </c>
      <c r="C46" s="98">
        <v>0.03</v>
      </c>
      <c r="D46" s="11">
        <f t="shared" si="4"/>
        <v>57.05</v>
      </c>
    </row>
    <row r="47" spans="1:5" x14ac:dyDescent="0.2">
      <c r="A47" s="10" t="s">
        <v>47</v>
      </c>
      <c r="B47" s="33" t="s">
        <v>70</v>
      </c>
      <c r="C47" s="34">
        <v>1.4999999999999999E-2</v>
      </c>
      <c r="D47" s="11">
        <f t="shared" si="4"/>
        <v>28.52</v>
      </c>
    </row>
    <row r="48" spans="1:5" x14ac:dyDescent="0.2">
      <c r="A48" s="10" t="s">
        <v>49</v>
      </c>
      <c r="B48" s="33" t="s">
        <v>71</v>
      </c>
      <c r="C48" s="34">
        <v>0.01</v>
      </c>
      <c r="D48" s="11">
        <f t="shared" si="4"/>
        <v>19.02</v>
      </c>
    </row>
    <row r="49" spans="1:5" x14ac:dyDescent="0.2">
      <c r="A49" s="10" t="s">
        <v>72</v>
      </c>
      <c r="B49" s="33" t="s">
        <v>73</v>
      </c>
      <c r="C49" s="34">
        <v>6.0000000000000001E-3</v>
      </c>
      <c r="D49" s="11">
        <f t="shared" si="4"/>
        <v>11.41</v>
      </c>
    </row>
    <row r="50" spans="1:5" x14ac:dyDescent="0.2">
      <c r="A50" s="10" t="s">
        <v>51</v>
      </c>
      <c r="B50" s="33" t="s">
        <v>10</v>
      </c>
      <c r="C50" s="34">
        <v>2E-3</v>
      </c>
      <c r="D50" s="11">
        <f t="shared" si="4"/>
        <v>3.8</v>
      </c>
    </row>
    <row r="51" spans="1:5" x14ac:dyDescent="0.2">
      <c r="A51" s="1" t="s">
        <v>53</v>
      </c>
      <c r="B51" s="35" t="s">
        <v>11</v>
      </c>
      <c r="C51" s="34">
        <v>0.08</v>
      </c>
      <c r="D51" s="11">
        <f t="shared" si="4"/>
        <v>152.12</v>
      </c>
    </row>
    <row r="52" spans="1:5" ht="13.5" thickBot="1" x14ac:dyDescent="0.25">
      <c r="A52" s="352" t="s">
        <v>74</v>
      </c>
      <c r="B52" s="353"/>
      <c r="C52" s="36">
        <f t="shared" ref="C52:D52" si="5">SUM(C44:C51)</f>
        <v>0.36799999999999999</v>
      </c>
      <c r="D52" s="37">
        <f t="shared" si="5"/>
        <v>699.77</v>
      </c>
    </row>
    <row r="53" spans="1:5" x14ac:dyDescent="0.2">
      <c r="A53" s="79" t="s">
        <v>143</v>
      </c>
      <c r="B53" s="85"/>
      <c r="C53" s="86"/>
      <c r="D53" s="87"/>
      <c r="E53" s="88"/>
    </row>
    <row r="54" spans="1:5" x14ac:dyDescent="0.2">
      <c r="A54" s="79" t="s">
        <v>144</v>
      </c>
      <c r="B54" s="85"/>
      <c r="C54" s="86"/>
      <c r="D54" s="87"/>
      <c r="E54" s="88"/>
    </row>
    <row r="55" spans="1:5" ht="13.5" thickBot="1" x14ac:dyDescent="0.25">
      <c r="A55" s="289" t="s">
        <v>166</v>
      </c>
      <c r="B55" s="85"/>
      <c r="C55" s="86"/>
      <c r="D55" s="87"/>
      <c r="E55" s="88"/>
    </row>
    <row r="56" spans="1:5" ht="13.5" thickBot="1" x14ac:dyDescent="0.25">
      <c r="A56" s="344" t="s">
        <v>75</v>
      </c>
      <c r="B56" s="345"/>
      <c r="C56" s="345"/>
      <c r="D56" s="346"/>
    </row>
    <row r="57" spans="1:5" ht="13.5" thickBot="1" x14ac:dyDescent="0.25">
      <c r="A57" s="27" t="s">
        <v>76</v>
      </c>
      <c r="B57" s="354" t="s">
        <v>17</v>
      </c>
      <c r="C57" s="343"/>
      <c r="D57" s="38" t="s">
        <v>44</v>
      </c>
    </row>
    <row r="58" spans="1:5" x14ac:dyDescent="0.2">
      <c r="A58" s="3" t="s">
        <v>31</v>
      </c>
      <c r="B58" s="355" t="s">
        <v>77</v>
      </c>
      <c r="C58" s="356"/>
      <c r="D58" s="11">
        <f>5.5*2*22-6%*D22</f>
        <v>127.91</v>
      </c>
    </row>
    <row r="59" spans="1:5" x14ac:dyDescent="0.2">
      <c r="A59" s="5" t="s">
        <v>33</v>
      </c>
      <c r="B59" s="362" t="s">
        <v>78</v>
      </c>
      <c r="C59" s="358"/>
      <c r="D59" s="39">
        <f>35*22</f>
        <v>770</v>
      </c>
    </row>
    <row r="60" spans="1:5" x14ac:dyDescent="0.2">
      <c r="A60" s="5" t="s">
        <v>3</v>
      </c>
      <c r="B60" s="40" t="s">
        <v>79</v>
      </c>
      <c r="C60" s="41"/>
      <c r="D60" s="39">
        <v>0</v>
      </c>
    </row>
    <row r="61" spans="1:5" x14ac:dyDescent="0.2">
      <c r="A61" s="5" t="s">
        <v>47</v>
      </c>
      <c r="B61" s="42" t="s">
        <v>80</v>
      </c>
      <c r="C61" s="41"/>
      <c r="D61" s="39">
        <v>0</v>
      </c>
    </row>
    <row r="62" spans="1:5" x14ac:dyDescent="0.2">
      <c r="A62" s="3" t="s">
        <v>5</v>
      </c>
      <c r="B62" s="355" t="s">
        <v>81</v>
      </c>
      <c r="C62" s="356"/>
      <c r="D62" s="11">
        <v>2.2999999999999998</v>
      </c>
    </row>
    <row r="63" spans="1:5" x14ac:dyDescent="0.2">
      <c r="A63" s="5" t="s">
        <v>72</v>
      </c>
      <c r="B63" s="362" t="s">
        <v>82</v>
      </c>
      <c r="C63" s="358"/>
      <c r="D63" s="39">
        <v>0</v>
      </c>
    </row>
    <row r="64" spans="1:5" x14ac:dyDescent="0.2">
      <c r="A64" s="5" t="s">
        <v>7</v>
      </c>
      <c r="B64" s="40" t="s">
        <v>83</v>
      </c>
      <c r="C64" s="41"/>
      <c r="D64" s="39">
        <v>0</v>
      </c>
    </row>
    <row r="65" spans="1:4" ht="13.5" thickBot="1" x14ac:dyDescent="0.25">
      <c r="A65" s="43" t="s">
        <v>72</v>
      </c>
      <c r="B65" s="44" t="s">
        <v>84</v>
      </c>
      <c r="C65" s="45"/>
      <c r="D65" s="46">
        <v>0</v>
      </c>
    </row>
    <row r="66" spans="1:4" ht="13.5" thickBot="1" x14ac:dyDescent="0.25">
      <c r="A66" s="392" t="s">
        <v>85</v>
      </c>
      <c r="B66" s="393" t="s">
        <v>85</v>
      </c>
      <c r="C66" s="393"/>
      <c r="D66" s="47">
        <f>SUM(D58:D64)</f>
        <v>900.21</v>
      </c>
    </row>
    <row r="67" spans="1:4" x14ac:dyDescent="0.2">
      <c r="A67" s="79" t="s">
        <v>145</v>
      </c>
      <c r="B67" s="26"/>
      <c r="C67" s="26"/>
      <c r="D67" s="78"/>
    </row>
    <row r="68" spans="1:4" ht="23.25" customHeight="1" thickBot="1" x14ac:dyDescent="0.25">
      <c r="A68" s="351" t="s">
        <v>146</v>
      </c>
      <c r="B68" s="351"/>
      <c r="C68" s="351"/>
      <c r="D68" s="351"/>
    </row>
    <row r="69" spans="1:4" ht="13.5" thickBot="1" x14ac:dyDescent="0.25">
      <c r="A69" s="344" t="s">
        <v>86</v>
      </c>
      <c r="B69" s="345"/>
      <c r="C69" s="345"/>
      <c r="D69" s="346"/>
    </row>
    <row r="70" spans="1:4" ht="36.75" customHeight="1" thickBot="1" x14ac:dyDescent="0.25">
      <c r="A70" s="52">
        <v>2</v>
      </c>
      <c r="B70" s="341" t="s">
        <v>87</v>
      </c>
      <c r="C70" s="343"/>
      <c r="D70" s="53" t="s">
        <v>88</v>
      </c>
    </row>
    <row r="71" spans="1:4" ht="13.5" thickBot="1" x14ac:dyDescent="0.25">
      <c r="A71" s="54" t="s">
        <v>58</v>
      </c>
      <c r="B71" s="347" t="s">
        <v>59</v>
      </c>
      <c r="C71" s="348"/>
      <c r="D71" s="55">
        <f>D38</f>
        <v>531.49</v>
      </c>
    </row>
    <row r="72" spans="1:4" ht="13.5" thickBot="1" x14ac:dyDescent="0.25">
      <c r="A72" s="54" t="s">
        <v>65</v>
      </c>
      <c r="B72" s="347" t="s">
        <v>66</v>
      </c>
      <c r="C72" s="348"/>
      <c r="D72" s="55">
        <f>D52</f>
        <v>699.77</v>
      </c>
    </row>
    <row r="73" spans="1:4" ht="13.5" thickBot="1" x14ac:dyDescent="0.25">
      <c r="A73" s="54" t="s">
        <v>76</v>
      </c>
      <c r="B73" s="339" t="s">
        <v>17</v>
      </c>
      <c r="C73" s="340"/>
      <c r="D73" s="55">
        <f>D66</f>
        <v>900.21</v>
      </c>
    </row>
    <row r="74" spans="1:4" ht="13.5" thickBot="1" x14ac:dyDescent="0.25">
      <c r="A74" s="341" t="s">
        <v>89</v>
      </c>
      <c r="B74" s="342"/>
      <c r="C74" s="343"/>
      <c r="D74" s="56">
        <f>SUM(D71:D73)</f>
        <v>2131.4699999999998</v>
      </c>
    </row>
    <row r="75" spans="1:4" ht="13.5" thickBot="1" x14ac:dyDescent="0.25">
      <c r="A75" s="344" t="s">
        <v>90</v>
      </c>
      <c r="B75" s="345"/>
      <c r="C75" s="345"/>
      <c r="D75" s="346"/>
    </row>
    <row r="76" spans="1:4" ht="13.5" thickBot="1" x14ac:dyDescent="0.25">
      <c r="A76" s="52">
        <v>3</v>
      </c>
      <c r="B76" s="285" t="s">
        <v>22</v>
      </c>
      <c r="C76" s="57" t="s">
        <v>0</v>
      </c>
      <c r="D76" s="53" t="s">
        <v>88</v>
      </c>
    </row>
    <row r="77" spans="1:4" ht="13.5" thickBot="1" x14ac:dyDescent="0.25">
      <c r="A77" s="54" t="s">
        <v>1</v>
      </c>
      <c r="B77" s="58" t="s">
        <v>13</v>
      </c>
      <c r="C77" s="59">
        <v>4.5999999999999999E-3</v>
      </c>
      <c r="D77" s="55">
        <f t="shared" ref="D77:D82" si="6">C77*$D$29</f>
        <v>8.75</v>
      </c>
    </row>
    <row r="78" spans="1:4" ht="13.5" thickBot="1" x14ac:dyDescent="0.25">
      <c r="A78" s="54" t="s">
        <v>2</v>
      </c>
      <c r="B78" s="58" t="s">
        <v>91</v>
      </c>
      <c r="C78" s="59">
        <f>8%*C77</f>
        <v>4.0000000000000002E-4</v>
      </c>
      <c r="D78" s="55">
        <f t="shared" si="6"/>
        <v>0.76</v>
      </c>
    </row>
    <row r="79" spans="1:4" ht="26.25" customHeight="1" thickBot="1" x14ac:dyDescent="0.25">
      <c r="A79" s="54" t="s">
        <v>3</v>
      </c>
      <c r="B79" s="58" t="s">
        <v>92</v>
      </c>
      <c r="C79" s="290">
        <v>3.4700000000000002E-2</v>
      </c>
      <c r="D79" s="55">
        <f t="shared" si="6"/>
        <v>65.98</v>
      </c>
    </row>
    <row r="80" spans="1:4" ht="15.75" customHeight="1" thickBot="1" x14ac:dyDescent="0.25">
      <c r="A80" s="54" t="s">
        <v>4</v>
      </c>
      <c r="B80" s="58" t="s">
        <v>23</v>
      </c>
      <c r="C80" s="59">
        <v>1.9400000000000001E-2</v>
      </c>
      <c r="D80" s="55">
        <f t="shared" si="6"/>
        <v>36.89</v>
      </c>
    </row>
    <row r="81" spans="1:4" ht="27" customHeight="1" thickBot="1" x14ac:dyDescent="0.25">
      <c r="A81" s="54" t="s">
        <v>5</v>
      </c>
      <c r="B81" s="58" t="s">
        <v>154</v>
      </c>
      <c r="C81" s="59">
        <f>1*36.8%*C80</f>
        <v>7.1000000000000004E-3</v>
      </c>
      <c r="D81" s="55">
        <f t="shared" si="6"/>
        <v>13.5</v>
      </c>
    </row>
    <row r="82" spans="1:4" ht="26.25" customHeight="1" thickBot="1" x14ac:dyDescent="0.25">
      <c r="A82" s="54" t="s">
        <v>6</v>
      </c>
      <c r="B82" s="58" t="s">
        <v>93</v>
      </c>
      <c r="C82" s="290">
        <v>2.0000000000000001E-4</v>
      </c>
      <c r="D82" s="55">
        <f t="shared" si="6"/>
        <v>0.38</v>
      </c>
    </row>
    <row r="83" spans="1:4" ht="13.5" thickBot="1" x14ac:dyDescent="0.25">
      <c r="A83" s="341" t="s">
        <v>89</v>
      </c>
      <c r="B83" s="343"/>
      <c r="C83" s="60">
        <f t="shared" ref="C83:D83" si="7">SUM(C77:C82)</f>
        <v>6.6400000000000001E-2</v>
      </c>
      <c r="D83" s="61">
        <f t="shared" si="7"/>
        <v>126.26</v>
      </c>
    </row>
    <row r="84" spans="1:4" ht="33.75" customHeight="1" thickBot="1" x14ac:dyDescent="0.25">
      <c r="A84" s="391" t="s">
        <v>147</v>
      </c>
      <c r="B84" s="391"/>
      <c r="C84" s="391"/>
      <c r="D84" s="391"/>
    </row>
    <row r="85" spans="1:4" ht="13.5" thickBot="1" x14ac:dyDescent="0.25">
      <c r="A85" s="344" t="s">
        <v>94</v>
      </c>
      <c r="B85" s="345"/>
      <c r="C85" s="345"/>
      <c r="D85" s="346"/>
    </row>
    <row r="86" spans="1:4" ht="15.75" customHeight="1" thickBot="1" x14ac:dyDescent="0.25">
      <c r="A86" s="341" t="s">
        <v>95</v>
      </c>
      <c r="B86" s="342"/>
      <c r="C86" s="342"/>
      <c r="D86" s="343"/>
    </row>
    <row r="87" spans="1:4" ht="15" customHeight="1" thickBot="1" x14ac:dyDescent="0.25">
      <c r="A87" s="52" t="s">
        <v>20</v>
      </c>
      <c r="B87" s="284" t="s">
        <v>96</v>
      </c>
      <c r="C87" s="52" t="s">
        <v>0</v>
      </c>
      <c r="D87" s="53" t="s">
        <v>88</v>
      </c>
    </row>
    <row r="88" spans="1:4" ht="13.5" thickBot="1" x14ac:dyDescent="0.25">
      <c r="A88" s="54" t="s">
        <v>1</v>
      </c>
      <c r="B88" s="58" t="s">
        <v>155</v>
      </c>
      <c r="C88" s="291">
        <v>9.0749999999999997E-2</v>
      </c>
      <c r="D88" s="63">
        <f>C88*$D$29</f>
        <v>172.56</v>
      </c>
    </row>
    <row r="89" spans="1:4" ht="13.5" thickBot="1" x14ac:dyDescent="0.25">
      <c r="A89" s="54" t="s">
        <v>2</v>
      </c>
      <c r="B89" s="58" t="s">
        <v>383</v>
      </c>
      <c r="C89" s="62">
        <v>4.1999999999999997E-3</v>
      </c>
      <c r="D89" s="63">
        <f>C89*$D$29</f>
        <v>7.99</v>
      </c>
    </row>
    <row r="90" spans="1:4" ht="15" customHeight="1" thickBot="1" x14ac:dyDescent="0.25">
      <c r="A90" s="54" t="s">
        <v>3</v>
      </c>
      <c r="B90" s="58" t="s">
        <v>98</v>
      </c>
      <c r="C90" s="62">
        <v>2.0000000000000001E-4</v>
      </c>
      <c r="D90" s="63">
        <f>C90*$D$29</f>
        <v>0.38</v>
      </c>
    </row>
    <row r="91" spans="1:4" ht="22.5" customHeight="1" thickBot="1" x14ac:dyDescent="0.25">
      <c r="A91" s="54" t="s">
        <v>4</v>
      </c>
      <c r="B91" s="58" t="s">
        <v>99</v>
      </c>
      <c r="C91" s="62">
        <v>4.1999999999999997E-3</v>
      </c>
      <c r="D91" s="63">
        <f>C91*$D$29</f>
        <v>7.99</v>
      </c>
    </row>
    <row r="92" spans="1:4" ht="13.5" thickBot="1" x14ac:dyDescent="0.25">
      <c r="A92" s="54" t="s">
        <v>5</v>
      </c>
      <c r="B92" s="58" t="s">
        <v>156</v>
      </c>
      <c r="C92" s="62">
        <v>2.0000000000000001E-4</v>
      </c>
      <c r="D92" s="63">
        <f>C92*$D$29</f>
        <v>0.38</v>
      </c>
    </row>
    <row r="93" spans="1:4" ht="39" thickBot="1" x14ac:dyDescent="0.25">
      <c r="A93" s="54" t="s">
        <v>6</v>
      </c>
      <c r="B93" s="58" t="s">
        <v>384</v>
      </c>
      <c r="C93" s="273">
        <f>SUM(C88:C92)*C52</f>
        <v>3.6600000000000001E-2</v>
      </c>
      <c r="D93" s="63">
        <f t="shared" ref="D93" si="8">C93*$D$29</f>
        <v>69.599999999999994</v>
      </c>
    </row>
    <row r="94" spans="1:4" ht="13.5" thickBot="1" x14ac:dyDescent="0.25">
      <c r="A94" s="341" t="s">
        <v>63</v>
      </c>
      <c r="B94" s="342"/>
      <c r="C94" s="64">
        <f t="shared" ref="C94:D94" si="9">SUM(C88:C93)</f>
        <v>0.13619999999999999</v>
      </c>
      <c r="D94" s="61">
        <f t="shared" si="9"/>
        <v>258.89999999999998</v>
      </c>
    </row>
    <row r="95" spans="1:4" ht="36.75" customHeight="1" thickBot="1" x14ac:dyDescent="0.25">
      <c r="A95" s="357" t="s">
        <v>153</v>
      </c>
      <c r="B95" s="357"/>
      <c r="C95" s="357"/>
      <c r="D95" s="357"/>
    </row>
    <row r="96" spans="1:4" ht="15.75" customHeight="1" thickBot="1" x14ac:dyDescent="0.25">
      <c r="A96" s="344" t="s">
        <v>101</v>
      </c>
      <c r="B96" s="345"/>
      <c r="C96" s="345"/>
      <c r="D96" s="346"/>
    </row>
    <row r="97" spans="1:4" ht="15.75" customHeight="1" thickBot="1" x14ac:dyDescent="0.25">
      <c r="A97" s="52" t="s">
        <v>21</v>
      </c>
      <c r="B97" s="341" t="s">
        <v>102</v>
      </c>
      <c r="C97" s="343"/>
      <c r="D97" s="53" t="s">
        <v>88</v>
      </c>
    </row>
    <row r="98" spans="1:4" ht="15" customHeight="1" thickBot="1" x14ac:dyDescent="0.25">
      <c r="A98" s="54" t="s">
        <v>1</v>
      </c>
      <c r="B98" s="339" t="s">
        <v>157</v>
      </c>
      <c r="C98" s="340"/>
      <c r="D98" s="55">
        <v>0</v>
      </c>
    </row>
    <row r="99" spans="1:4" ht="15.75" customHeight="1" thickBot="1" x14ac:dyDescent="0.25">
      <c r="A99" s="341" t="s">
        <v>89</v>
      </c>
      <c r="B99" s="342"/>
      <c r="C99" s="343"/>
      <c r="D99" s="55">
        <f>SUM(D98)</f>
        <v>0</v>
      </c>
    </row>
    <row r="100" spans="1:4" ht="13.5" thickBot="1" x14ac:dyDescent="0.25">
      <c r="A100" s="48"/>
      <c r="B100" s="49"/>
      <c r="C100" s="50"/>
      <c r="D100" s="51"/>
    </row>
    <row r="101" spans="1:4" ht="13.5" thickBot="1" x14ac:dyDescent="0.25">
      <c r="A101" s="344" t="s">
        <v>103</v>
      </c>
      <c r="B101" s="345"/>
      <c r="C101" s="345"/>
      <c r="D101" s="346"/>
    </row>
    <row r="102" spans="1:4" ht="13.5" thickBot="1" x14ac:dyDescent="0.25">
      <c r="A102" s="52">
        <v>4</v>
      </c>
      <c r="B102" s="341" t="s">
        <v>104</v>
      </c>
      <c r="C102" s="343"/>
      <c r="D102" s="53" t="s">
        <v>88</v>
      </c>
    </row>
    <row r="103" spans="1:4" ht="15" customHeight="1" thickBot="1" x14ac:dyDescent="0.25">
      <c r="A103" s="54" t="s">
        <v>20</v>
      </c>
      <c r="B103" s="339" t="s">
        <v>96</v>
      </c>
      <c r="C103" s="340"/>
      <c r="D103" s="55">
        <f>D94</f>
        <v>258.89999999999998</v>
      </c>
    </row>
    <row r="104" spans="1:4" ht="15.75" customHeight="1" thickBot="1" x14ac:dyDescent="0.25">
      <c r="A104" s="54" t="s">
        <v>21</v>
      </c>
      <c r="B104" s="339" t="s">
        <v>102</v>
      </c>
      <c r="C104" s="340"/>
      <c r="D104" s="55">
        <f>D99</f>
        <v>0</v>
      </c>
    </row>
    <row r="105" spans="1:4" ht="15.75" customHeight="1" thickBot="1" x14ac:dyDescent="0.25">
      <c r="A105" s="341" t="s">
        <v>89</v>
      </c>
      <c r="B105" s="342"/>
      <c r="C105" s="343"/>
      <c r="D105" s="61">
        <f>SUM(D103:D104)</f>
        <v>258.89999999999998</v>
      </c>
    </row>
    <row r="106" spans="1:4" ht="15.75" customHeight="1" thickBot="1" x14ac:dyDescent="0.25">
      <c r="A106" s="48"/>
      <c r="B106" s="49"/>
      <c r="C106" s="50"/>
      <c r="D106" s="51"/>
    </row>
    <row r="107" spans="1:4" ht="15.75" customHeight="1" thickBot="1" x14ac:dyDescent="0.25">
      <c r="A107" s="344" t="s">
        <v>105</v>
      </c>
      <c r="B107" s="345"/>
      <c r="C107" s="345"/>
      <c r="D107" s="346"/>
    </row>
    <row r="108" spans="1:4" ht="15.75" customHeight="1" thickBot="1" x14ac:dyDescent="0.25">
      <c r="A108" s="52">
        <v>5</v>
      </c>
      <c r="B108" s="341" t="s">
        <v>18</v>
      </c>
      <c r="C108" s="343"/>
      <c r="D108" s="53" t="s">
        <v>88</v>
      </c>
    </row>
    <row r="109" spans="1:4" ht="13.5" thickBot="1" x14ac:dyDescent="0.25">
      <c r="A109" s="54" t="s">
        <v>1</v>
      </c>
      <c r="B109" s="339" t="s">
        <v>19</v>
      </c>
      <c r="C109" s="340"/>
      <c r="D109" s="55">
        <f>Uniformes!O16</f>
        <v>41.51</v>
      </c>
    </row>
    <row r="110" spans="1:4" ht="13.5" thickBot="1" x14ac:dyDescent="0.25">
      <c r="A110" s="54" t="s">
        <v>2</v>
      </c>
      <c r="B110" s="339" t="s">
        <v>27</v>
      </c>
      <c r="C110" s="340"/>
      <c r="D110" s="55"/>
    </row>
    <row r="111" spans="1:4" ht="13.5" thickBot="1" x14ac:dyDescent="0.25">
      <c r="A111" s="54" t="s">
        <v>3</v>
      </c>
      <c r="B111" s="339" t="s">
        <v>345</v>
      </c>
      <c r="C111" s="340"/>
      <c r="D111" s="55">
        <f>Equipamento!G44</f>
        <v>21.92</v>
      </c>
    </row>
    <row r="112" spans="1:4" ht="15" customHeight="1" thickBot="1" x14ac:dyDescent="0.25">
      <c r="A112" s="54" t="s">
        <v>4</v>
      </c>
      <c r="B112" s="339" t="s">
        <v>346</v>
      </c>
      <c r="C112" s="340"/>
      <c r="D112" s="55"/>
    </row>
    <row r="113" spans="1:5" ht="15.75" customHeight="1" thickBot="1" x14ac:dyDescent="0.25">
      <c r="A113" s="341" t="s">
        <v>63</v>
      </c>
      <c r="B113" s="342"/>
      <c r="C113" s="343"/>
      <c r="D113" s="56">
        <f>SUM(D109:D112)</f>
        <v>63.43</v>
      </c>
    </row>
    <row r="114" spans="1:5" ht="13.5" thickBot="1" x14ac:dyDescent="0.25">
      <c r="A114" s="48"/>
      <c r="B114" s="49"/>
      <c r="C114" s="50"/>
      <c r="D114" s="51"/>
    </row>
    <row r="115" spans="1:5" ht="15.75" customHeight="1" thickBot="1" x14ac:dyDescent="0.25">
      <c r="A115" s="344" t="s">
        <v>106</v>
      </c>
      <c r="B115" s="345"/>
      <c r="C115" s="345"/>
      <c r="D115" s="346"/>
    </row>
    <row r="116" spans="1:5" ht="18" customHeight="1" thickBot="1" x14ac:dyDescent="0.25">
      <c r="A116" s="52">
        <v>6</v>
      </c>
      <c r="B116" s="65" t="s">
        <v>24</v>
      </c>
      <c r="C116" s="285" t="s">
        <v>0</v>
      </c>
      <c r="D116" s="53" t="s">
        <v>88</v>
      </c>
    </row>
    <row r="117" spans="1:5" ht="15.75" customHeight="1" thickBot="1" x14ac:dyDescent="0.25">
      <c r="A117" s="54" t="s">
        <v>1</v>
      </c>
      <c r="B117" s="66" t="s">
        <v>25</v>
      </c>
      <c r="C117" s="62">
        <v>0.05</v>
      </c>
      <c r="D117" s="55">
        <f>C117*D135</f>
        <v>224.08</v>
      </c>
    </row>
    <row r="118" spans="1:5" ht="13.5" thickBot="1" x14ac:dyDescent="0.25">
      <c r="A118" s="54" t="s">
        <v>2</v>
      </c>
      <c r="B118" s="66" t="s">
        <v>108</v>
      </c>
      <c r="C118" s="62">
        <v>3.0499999999999999E-2</v>
      </c>
      <c r="D118" s="55">
        <f>(D117+D135)*C118</f>
        <v>143.52000000000001</v>
      </c>
    </row>
    <row r="119" spans="1:5" ht="13.5" thickBot="1" x14ac:dyDescent="0.25">
      <c r="A119" s="54" t="s">
        <v>3</v>
      </c>
      <c r="B119" s="66" t="s">
        <v>109</v>
      </c>
      <c r="C119" s="62">
        <f>C120+C121+C122</f>
        <v>0.14249999999999999</v>
      </c>
      <c r="D119" s="55">
        <f>((D117+D118+D135)/(1-C119))*C119</f>
        <v>805.84</v>
      </c>
      <c r="E119" s="97"/>
    </row>
    <row r="120" spans="1:5" ht="13.5" thickBot="1" x14ac:dyDescent="0.25">
      <c r="A120" s="54"/>
      <c r="B120" s="66" t="s">
        <v>110</v>
      </c>
      <c r="C120" s="62">
        <v>9.2499999999999999E-2</v>
      </c>
      <c r="D120" s="55">
        <f>D137*C120</f>
        <v>523.09</v>
      </c>
    </row>
    <row r="121" spans="1:5" ht="13.5" thickBot="1" x14ac:dyDescent="0.25">
      <c r="A121" s="54"/>
      <c r="B121" s="66" t="s">
        <v>111</v>
      </c>
      <c r="C121" s="67">
        <v>0.05</v>
      </c>
      <c r="D121" s="55">
        <f>C121*D137</f>
        <v>282.75</v>
      </c>
    </row>
    <row r="122" spans="1:5" ht="13.5" thickBot="1" x14ac:dyDescent="0.25">
      <c r="A122" s="54"/>
      <c r="B122" s="66" t="s">
        <v>112</v>
      </c>
      <c r="C122" s="67">
        <v>0</v>
      </c>
      <c r="D122" s="55">
        <f>C122*D137</f>
        <v>0</v>
      </c>
    </row>
    <row r="123" spans="1:5" ht="13.5" thickBot="1" x14ac:dyDescent="0.25">
      <c r="A123" s="341" t="s">
        <v>63</v>
      </c>
      <c r="B123" s="343"/>
      <c r="C123" s="64">
        <f>C119+C117+C118</f>
        <v>0.223</v>
      </c>
      <c r="D123" s="53">
        <f>SUM(D117,D118,D119)</f>
        <v>1173.44</v>
      </c>
    </row>
    <row r="124" spans="1:5" x14ac:dyDescent="0.2">
      <c r="A124" s="79" t="s">
        <v>148</v>
      </c>
      <c r="B124" s="49"/>
      <c r="C124" s="50"/>
      <c r="D124" s="51"/>
    </row>
    <row r="125" spans="1:5" ht="21.75" customHeight="1" x14ac:dyDescent="0.2">
      <c r="A125" s="351" t="s">
        <v>149</v>
      </c>
      <c r="B125" s="351"/>
      <c r="C125" s="351"/>
      <c r="D125" s="351"/>
    </row>
    <row r="126" spans="1:5" x14ac:dyDescent="0.2">
      <c r="A126" s="79" t="s">
        <v>150</v>
      </c>
      <c r="B126" s="49"/>
      <c r="C126" s="50"/>
      <c r="D126" s="51"/>
    </row>
    <row r="127" spans="1:5" ht="13.5" thickBot="1" x14ac:dyDescent="0.25">
      <c r="A127" s="48"/>
      <c r="B127" s="49"/>
      <c r="C127" s="50"/>
      <c r="D127" s="51"/>
    </row>
    <row r="128" spans="1:5" ht="15" customHeight="1" thickBot="1" x14ac:dyDescent="0.25">
      <c r="A128" s="344" t="s">
        <v>113</v>
      </c>
      <c r="B128" s="345"/>
      <c r="C128" s="345"/>
      <c r="D128" s="346"/>
    </row>
    <row r="129" spans="1:4" ht="21.75" customHeight="1" thickBot="1" x14ac:dyDescent="0.25">
      <c r="A129" s="52"/>
      <c r="B129" s="349" t="s">
        <v>114</v>
      </c>
      <c r="C129" s="350"/>
      <c r="D129" s="53" t="s">
        <v>88</v>
      </c>
    </row>
    <row r="130" spans="1:4" ht="15.75" customHeight="1" thickBot="1" x14ac:dyDescent="0.25">
      <c r="A130" s="68" t="s">
        <v>1</v>
      </c>
      <c r="B130" s="347" t="s">
        <v>26</v>
      </c>
      <c r="C130" s="348"/>
      <c r="D130" s="55">
        <f>D29</f>
        <v>1901.53</v>
      </c>
    </row>
    <row r="131" spans="1:4" ht="15.75" customHeight="1" thickBot="1" x14ac:dyDescent="0.25">
      <c r="A131" s="68" t="s">
        <v>2</v>
      </c>
      <c r="B131" s="339" t="s">
        <v>56</v>
      </c>
      <c r="C131" s="340"/>
      <c r="D131" s="55">
        <f>D74</f>
        <v>2131.4699999999998</v>
      </c>
    </row>
    <row r="132" spans="1:4" ht="13.5" thickBot="1" x14ac:dyDescent="0.25">
      <c r="A132" s="68" t="s">
        <v>3</v>
      </c>
      <c r="B132" s="339" t="s">
        <v>90</v>
      </c>
      <c r="C132" s="340"/>
      <c r="D132" s="55">
        <f>D83</f>
        <v>126.26</v>
      </c>
    </row>
    <row r="133" spans="1:4" ht="15.75" customHeight="1" thickBot="1" x14ac:dyDescent="0.25">
      <c r="A133" s="68" t="s">
        <v>4</v>
      </c>
      <c r="B133" s="339" t="s">
        <v>94</v>
      </c>
      <c r="C133" s="340"/>
      <c r="D133" s="55">
        <f>D105</f>
        <v>258.89999999999998</v>
      </c>
    </row>
    <row r="134" spans="1:4" ht="15" customHeight="1" thickBot="1" x14ac:dyDescent="0.25">
      <c r="A134" s="68" t="s">
        <v>5</v>
      </c>
      <c r="B134" s="339" t="s">
        <v>105</v>
      </c>
      <c r="C134" s="340"/>
      <c r="D134" s="55">
        <f>D113</f>
        <v>63.43</v>
      </c>
    </row>
    <row r="135" spans="1:4" ht="13.5" thickBot="1" x14ac:dyDescent="0.25">
      <c r="A135" s="341" t="s">
        <v>115</v>
      </c>
      <c r="B135" s="342"/>
      <c r="C135" s="343"/>
      <c r="D135" s="55">
        <f>SUM(D130:D134)</f>
        <v>4481.59</v>
      </c>
    </row>
    <row r="136" spans="1:4" ht="14.25" customHeight="1" thickBot="1" x14ac:dyDescent="0.25">
      <c r="A136" s="68" t="s">
        <v>6</v>
      </c>
      <c r="B136" s="347" t="s">
        <v>116</v>
      </c>
      <c r="C136" s="348"/>
      <c r="D136" s="69">
        <f>D123</f>
        <v>1173.44</v>
      </c>
    </row>
    <row r="137" spans="1:4" ht="15" customHeight="1" thickBot="1" x14ac:dyDescent="0.25">
      <c r="A137" s="341" t="s">
        <v>117</v>
      </c>
      <c r="B137" s="342"/>
      <c r="C137" s="343"/>
      <c r="D137" s="70">
        <f>ROUND((D135+D136),2)</f>
        <v>5655.03</v>
      </c>
    </row>
    <row r="138" spans="1:4" ht="21" customHeight="1" x14ac:dyDescent="0.2">
      <c r="A138" s="369"/>
      <c r="B138" s="369"/>
      <c r="C138" s="369"/>
      <c r="D138" s="369"/>
    </row>
    <row r="139" spans="1:4" ht="15" customHeight="1" x14ac:dyDescent="0.2"/>
    <row r="140" spans="1:4" ht="15" customHeight="1" x14ac:dyDescent="0.2"/>
    <row r="142" spans="1:4" ht="15" customHeight="1" x14ac:dyDescent="0.2"/>
    <row r="143" spans="1:4" ht="14.25" customHeight="1" x14ac:dyDescent="0.2"/>
  </sheetData>
  <mergeCells count="87">
    <mergeCell ref="B136:C136"/>
    <mergeCell ref="A137:C137"/>
    <mergeCell ref="A138:D138"/>
    <mergeCell ref="B130:C130"/>
    <mergeCell ref="B131:C131"/>
    <mergeCell ref="B132:C132"/>
    <mergeCell ref="B133:C133"/>
    <mergeCell ref="B134:C134"/>
    <mergeCell ref="A135:C135"/>
    <mergeCell ref="B129:C129"/>
    <mergeCell ref="A107:D107"/>
    <mergeCell ref="B108:C108"/>
    <mergeCell ref="B109:C109"/>
    <mergeCell ref="B110:C110"/>
    <mergeCell ref="B111:C111"/>
    <mergeCell ref="B112:C112"/>
    <mergeCell ref="A113:C113"/>
    <mergeCell ref="A115:D115"/>
    <mergeCell ref="A123:B123"/>
    <mergeCell ref="A125:D125"/>
    <mergeCell ref="A128:D128"/>
    <mergeCell ref="A105:C105"/>
    <mergeCell ref="A86:D86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85:D85"/>
    <mergeCell ref="A66:C6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B63:C63"/>
    <mergeCell ref="A38:C38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A36:B36"/>
    <mergeCell ref="B19:C19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B18:C18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6:D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Quadro Resumo m²</vt:lpstr>
      <vt:lpstr>Mensal Unitário por m²</vt:lpstr>
      <vt:lpstr>Quadro Efetivo</vt:lpstr>
      <vt:lpstr>1 - Encarregado</vt:lpstr>
      <vt:lpstr>2 - Servente</vt:lpstr>
      <vt:lpstr>2.1 - Servente Esquadria</vt:lpstr>
      <vt:lpstr>3 - Servente Insalubre</vt:lpstr>
      <vt:lpstr>4 - Jauzeiro</vt:lpstr>
      <vt:lpstr>5 - Jardineiro</vt:lpstr>
      <vt:lpstr>Memória de Cálculo e Fundamento</vt:lpstr>
      <vt:lpstr>Equipamento</vt:lpstr>
      <vt:lpstr>Uniformes</vt:lpstr>
      <vt:lpstr>Materiais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Jaqueline Souto Mangabeira Binicheski</dc:creator>
  <cp:lastModifiedBy>Ana Lúcia</cp:lastModifiedBy>
  <cp:lastPrinted>2018-03-02T19:16:44Z</cp:lastPrinted>
  <dcterms:created xsi:type="dcterms:W3CDTF">2008-06-24T14:14:08Z</dcterms:created>
  <dcterms:modified xsi:type="dcterms:W3CDTF">2021-11-08T20:51:49Z</dcterms:modified>
</cp:coreProperties>
</file>